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drawings/drawing3.xml" ContentType="application/vnd.openxmlformats-officedocument.drawing+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drawings/drawing4.xml" ContentType="application/vnd.openxmlformats-officedocument.drawing+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always" codeName="ThisWorkbook" autoCompressPictures="0"/>
  <mc:AlternateContent xmlns:mc="http://schemas.openxmlformats.org/markup-compatibility/2006">
    <mc:Choice Requires="x15">
      <x15ac:absPath xmlns:x15ac="http://schemas.microsoft.com/office/spreadsheetml/2010/11/ac" url="C:\Users\puppy\Documents\KS\ReifyMedia\Redwoods\"/>
    </mc:Choice>
  </mc:AlternateContent>
  <bookViews>
    <workbookView xWindow="0" yWindow="0" windowWidth="19474" windowHeight="7191"/>
  </bookViews>
  <sheets>
    <sheet name="START" sheetId="19" r:id="rId1"/>
    <sheet name="ARA" sheetId="6" r:id="rId2"/>
    <sheet name="Camping" sheetId="13" r:id="rId3"/>
    <sheet name="WC" sheetId="9" r:id="rId4"/>
    <sheet name="SocialPrograms" sheetId="18" state="hidden" r:id="rId5"/>
    <sheet name="recommendations" sheetId="7" r:id="rId6"/>
    <sheet name="Rec" sheetId="10" state="hidden" r:id="rId7"/>
    <sheet name="calculations" sheetId="2" state="hidden" r:id="rId8"/>
    <sheet name="forms" sheetId="5" state="hidden" r:id="rId9"/>
    <sheet name="CList" sheetId="20" state="hidden" r:id="rId10"/>
  </sheets>
  <externalReferences>
    <externalReference r:id="rId11"/>
  </externalReferences>
  <definedNames>
    <definedName name="_xlnm._FilterDatabase" localSheetId="5" hidden="1">recommendations!$A$5:$D$38</definedName>
    <definedName name="ABUSEPREVENT">Camping!$A$523:$AR$630</definedName>
    <definedName name="abuseprevention">ARA!$A$68:$AR$249</definedName>
    <definedName name="aquatics">ARA!$A$250:$AR$492</definedName>
    <definedName name="AquaticSafety">ARA!$A$250:$AR$491</definedName>
    <definedName name="CAMPAQUATIC">Camping!$A$81:$AR$212</definedName>
    <definedName name="CAMPCOLLABORATIONS">Camping!$A$722:$AR$757</definedName>
    <definedName name="CampFacility">Camping!$A$453:$AR$522</definedName>
    <definedName name="camping1">forms!$A$196:$A$200</definedName>
    <definedName name="camping2">forms!$A$195:$A$200</definedName>
    <definedName name="CampOperations">Camping!$A$28:$AR$80</definedName>
    <definedName name="CAMPOTHER">Camping!$A$369:$AR$452</definedName>
    <definedName name="CampOtherPrograms">Camping!$A$213:$AR$452</definedName>
    <definedName name="CAMPPHOTOS">Camping!#REF!</definedName>
    <definedName name="CAMPTRANSPORT">Camping!$A$631:$AR$721</definedName>
    <definedName name="collaborations">ARA!$A$587:$AR$639</definedName>
    <definedName name="entrydevice">forms!$130:$136</definedName>
    <definedName name="facility">ARA!$A$730:$AR$738</definedName>
    <definedName name="FACILITYLIST">ARA!$A$730:$AR$853</definedName>
    <definedName name="list1" localSheetId="2">forms!$A$1:$A$4</definedName>
    <definedName name="list1">forms!$A$1:$A$4</definedName>
    <definedName name="list10">forms!$A$60:$A$63</definedName>
    <definedName name="list100">forms!$AU$68:$AU$73</definedName>
    <definedName name="list10a">forms!$A$59:$A$63</definedName>
    <definedName name="list10b">forms!$A$59:$A$62</definedName>
    <definedName name="list10c" localSheetId="2">forms!$A$58:$A$62</definedName>
    <definedName name="list10c">forms!$A$58:$A$62</definedName>
    <definedName name="list11" localSheetId="2">forms!$A$64:$A$68</definedName>
    <definedName name="list11">forms!$A$64:$A$68</definedName>
    <definedName name="list12">forms!$A$70:$A$73</definedName>
    <definedName name="list12a">forms!$A$70:$A$74</definedName>
    <definedName name="list12b" localSheetId="2">forms!$A$69:$A$74</definedName>
    <definedName name="list12b">forms!$A$69:$A$74</definedName>
    <definedName name="list13">forms!$A$76:$A$85</definedName>
    <definedName name="list13a" localSheetId="2">forms!$A$76:$A$84</definedName>
    <definedName name="list13a">forms!$A$76:$A$84</definedName>
    <definedName name="list14">forms!$A$87:$A$92</definedName>
    <definedName name="list14a" localSheetId="2">forms!$A$86:$A$92</definedName>
    <definedName name="list14a">forms!$A$86:$A$92</definedName>
    <definedName name="list15">forms!$A$94:$A$99</definedName>
    <definedName name="list15a" localSheetId="2">forms!$A$94:$A$100</definedName>
    <definedName name="list15a">forms!$A$94:$A$100</definedName>
    <definedName name="list16">forms!$A$94:$A$99</definedName>
    <definedName name="list17" localSheetId="2">forms!$A$101:$A$105</definedName>
    <definedName name="list17">forms!$A$101:$A$105</definedName>
    <definedName name="list18" localSheetId="2">forms!$A$107:$A$112</definedName>
    <definedName name="list18">forms!$A$107:$A$112</definedName>
    <definedName name="list19">forms!$A$119:$A$126</definedName>
    <definedName name="list19a" localSheetId="2">forms!$A$118:$A$126</definedName>
    <definedName name="list19a">forms!$A$118:$A$126</definedName>
    <definedName name="list1a">forms!$A$1:$A$5</definedName>
    <definedName name="list1b" localSheetId="2">forms!$AE$2:$AE$7</definedName>
    <definedName name="list1b">forms!$AE$2:$AE$7</definedName>
    <definedName name="list1c" localSheetId="2">forms!$AE$1:$AE$7</definedName>
    <definedName name="list1c">forms!$AE$1:$AE$7</definedName>
    <definedName name="list2" localSheetId="2">forms!$A$6:$A$7</definedName>
    <definedName name="list2">forms!$A$6:$A$7</definedName>
    <definedName name="list20">forms!$A$128:$A$131</definedName>
    <definedName name="list20a" localSheetId="2">forms!$A$127:$A$131</definedName>
    <definedName name="list20a">forms!$A$127:$A$131</definedName>
    <definedName name="list21">forms!$A$114:$A$117</definedName>
    <definedName name="list22" localSheetId="2">forms!$A$133:$A$136</definedName>
    <definedName name="list22">forms!$A$133:$A$136</definedName>
    <definedName name="list23">forms!$A$139:$A$141</definedName>
    <definedName name="list23a" localSheetId="2">forms!$A$138:$A$141</definedName>
    <definedName name="list23a">forms!$A$138:$A$141</definedName>
    <definedName name="list24">forms!$A$143:$A$145</definedName>
    <definedName name="list24a" localSheetId="2">forms!$A$142:$A$145</definedName>
    <definedName name="list24a">forms!$A$142:$A$145</definedName>
    <definedName name="list25" localSheetId="2">forms!$A$146:$A$149</definedName>
    <definedName name="list25">forms!$A$146:$A$149</definedName>
    <definedName name="list25a" localSheetId="2">forms!$A$146:$A$150</definedName>
    <definedName name="list25a">forms!$A$146:$A$150</definedName>
    <definedName name="list26" localSheetId="2">forms!$A$152:$A$154</definedName>
    <definedName name="list26">forms!$A$152:$A$154</definedName>
    <definedName name="list26a">forms!$A$151:$A$154</definedName>
    <definedName name="list26b">forms!$AD$151:$AD$156</definedName>
    <definedName name="list26c" localSheetId="2">forms!$AD$151:$AD$155</definedName>
    <definedName name="list26c">forms!$AD$151:$AD$155</definedName>
    <definedName name="list26d">forms!$AD$151:$AD$155</definedName>
    <definedName name="list27" localSheetId="2">forms!$A$155:$A$157</definedName>
    <definedName name="list27">forms!$A$155:$A$157</definedName>
    <definedName name="list27a" localSheetId="2">forms!$AS$155:$AS$158</definedName>
    <definedName name="list27a">forms!$AS$155:$AS$158</definedName>
    <definedName name="list28">forms!$A$159:$A$160</definedName>
    <definedName name="list29">forms!$A$162:$A$167</definedName>
    <definedName name="list29a">forms!$163:$167</definedName>
    <definedName name="list29b" localSheetId="2">forms!$A$163:$A$167</definedName>
    <definedName name="list29b">forms!$A$163:$A$167</definedName>
    <definedName name="list29c" localSheetId="2">forms!$AS$161:$AS$168</definedName>
    <definedName name="list29c">forms!$AS$161:$AS$168</definedName>
    <definedName name="list2a" localSheetId="2">forms!$A$5:$A$7</definedName>
    <definedName name="list2a">forms!$A$5:$A$7</definedName>
    <definedName name="list2c">forms!$J$5:$J$8</definedName>
    <definedName name="list3" localSheetId="2">forms!$A$9:$A$12</definedName>
    <definedName name="list3">forms!$A$9:$A$12</definedName>
    <definedName name="list30">forms!$A$169:$A$170</definedName>
    <definedName name="list31">forms!$A$176:$A$179</definedName>
    <definedName name="list31a" localSheetId="2">forms!$A$175:$A$179</definedName>
    <definedName name="list31a">forms!$A$175:$A$179</definedName>
    <definedName name="list32">forms!$A$180:$A$181</definedName>
    <definedName name="list33">forms!$A$183:$A$186</definedName>
    <definedName name="list33a">forms!$A$183:$A$186</definedName>
    <definedName name="list34">forms!$A$188:$A$189</definedName>
    <definedName name="list35">forms!$A$191:$A$193</definedName>
    <definedName name="list36">forms!$A$169:$A$173</definedName>
    <definedName name="list36a" localSheetId="2">forms!$A$168:$A$173</definedName>
    <definedName name="list36a">forms!$A$168:$A$173</definedName>
    <definedName name="list3a" localSheetId="2">forms!$A$8:$A$12</definedName>
    <definedName name="list3a">forms!$A$8:$A$12</definedName>
    <definedName name="list3b">forms!$A$8:$A$13</definedName>
    <definedName name="list4" localSheetId="2">forms!$A$14:$A$19</definedName>
    <definedName name="list4">forms!$A$14:$A$19</definedName>
    <definedName name="list49" localSheetId="2">forms!$AQ$172:$AQ$178</definedName>
    <definedName name="list49">forms!$AQ$172:$AQ$178</definedName>
    <definedName name="list4a">[1]forms!$J$17:$J$22</definedName>
    <definedName name="list5">forms!$A$21:$A$26</definedName>
    <definedName name="list50">forms!$AQ$173:$AQ$178</definedName>
    <definedName name="list51">forms!$AY$172:$AY$178</definedName>
    <definedName name="list52">forms!$BG$172:$BG$178</definedName>
    <definedName name="list59">forms!$AT$8:$AT$10</definedName>
    <definedName name="list59a">forms!$AT$8:$AT$11</definedName>
    <definedName name="list59b">forms!$AT$7:$AT$11</definedName>
    <definedName name="list5a" localSheetId="2">forms!$A$20:$A$26</definedName>
    <definedName name="list5a">forms!$A$20:$A$26</definedName>
    <definedName name="list6">forms!$A$28:$A$32</definedName>
    <definedName name="list60">forms!$AT$12:$AT$16</definedName>
    <definedName name="list61">forms!$AT$17:$AT$21</definedName>
    <definedName name="list61a">forms!$AT$17:$AT$22</definedName>
    <definedName name="list62">forms!$BF$8:$BF$13</definedName>
    <definedName name="list64">forms!$AU$23:$AU$27</definedName>
    <definedName name="list65">forms!$AU$29:$AU$36</definedName>
    <definedName name="list66">forms!$AU$38:$AU$45</definedName>
    <definedName name="list67">forms!$AU$47:$AU$49</definedName>
    <definedName name="list68">forms!$AU$51:$AU$56</definedName>
    <definedName name="list69">forms!$AU$58:$AU$61</definedName>
    <definedName name="list6a" localSheetId="2">forms!$A$27:$A$32</definedName>
    <definedName name="list6a">forms!$A$27:$A$32</definedName>
    <definedName name="list7" localSheetId="2">forms!$A$34:$A$45</definedName>
    <definedName name="list7">forms!$A$34:$A$45</definedName>
    <definedName name="list70">forms!$BF$15:$BF$19</definedName>
    <definedName name="list70a">forms!$BF$15:$BF$20</definedName>
    <definedName name="list71">forms!$AU$63:$AU$66</definedName>
    <definedName name="list73">forms!$AT$12:$AT$16</definedName>
    <definedName name="list74">forms!$BF$28:$BF$31</definedName>
    <definedName name="list74a">forms!$BF$27:$BF$31</definedName>
    <definedName name="list75">forms!$AU$76:$AU$81</definedName>
    <definedName name="list8" localSheetId="2">forms!$A$47:$A$50</definedName>
    <definedName name="list8">forms!$A$47:$A$50</definedName>
    <definedName name="list80">forms!$AU$84:$AU$87</definedName>
    <definedName name="list9">forms!$A$52:$A$56</definedName>
    <definedName name="list99" localSheetId="2">forms!$AC$182:$AC$186</definedName>
    <definedName name="list99">forms!$AC$182:$AC$186</definedName>
    <definedName name="list9a" localSheetId="2">forms!$A$51:$A$56</definedName>
    <definedName name="list9a">forms!$A$51:$A$56</definedName>
    <definedName name="LOCATION1">#REF!</definedName>
    <definedName name="LOCATION10">#REF!</definedName>
    <definedName name="LOCATION10A">#REF!</definedName>
    <definedName name="LOCATION11">#REF!</definedName>
    <definedName name="LOCATION12">#REF!</definedName>
    <definedName name="LOCATION13">#REF!</definedName>
    <definedName name="LOCATION14">#REF!</definedName>
    <definedName name="LOCATION15">#REF!</definedName>
    <definedName name="LOCATION16">#REF!</definedName>
    <definedName name="LOCATION17">#REF!</definedName>
    <definedName name="LOCATION18">#REF!</definedName>
    <definedName name="LOCATION19">#REF!</definedName>
    <definedName name="LOCATION2">#REF!</definedName>
    <definedName name="LOCATION20">#REF!</definedName>
    <definedName name="LOCATION3">#REF!</definedName>
    <definedName name="LOCATION4">#REF!</definedName>
    <definedName name="LOCATION5">#REF!</definedName>
    <definedName name="LOCATION6">#REF!</definedName>
    <definedName name="LOCATION7">#REF!</definedName>
    <definedName name="LOCATION8">#REF!</definedName>
    <definedName name="LOCATION9">#REF!</definedName>
    <definedName name="othersection">ARA!$A$640:$AR$729</definedName>
    <definedName name="PHOTOS">Camping!#REF!</definedName>
    <definedName name="_xlnm.Print_Area" localSheetId="3">WC!$A$1:$AT$504</definedName>
    <definedName name="transportation">ARA!$A$493:$AR$586</definedName>
    <definedName name="WCclaims">WC!#REF!</definedName>
    <definedName name="WCexposures">WC!$A$63:$AR$250</definedName>
    <definedName name="WCmanagement">WC!$A$251:$AR$352</definedName>
    <definedName name="WCreporting">WC!$A$437:$AR$504</definedName>
    <definedName name="WCtraining">WC!$A$353:$AR$436</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D3" i="19" l="1"/>
  <c r="C22" i="9"/>
  <c r="C20" i="9"/>
  <c r="C18" i="9"/>
  <c r="C24" i="9"/>
  <c r="C26" i="13"/>
  <c r="C24" i="13"/>
  <c r="C22" i="13"/>
  <c r="C20" i="13"/>
  <c r="C24" i="6"/>
  <c r="C22" i="6"/>
  <c r="C20" i="6"/>
  <c r="C18" i="6"/>
  <c r="X56" i="6"/>
  <c r="AC13" i="19"/>
  <c r="AB13" i="19"/>
  <c r="D7" i="19"/>
  <c r="D11" i="19"/>
  <c r="M44" i="2"/>
  <c r="N44" i="2"/>
  <c r="J726" i="6"/>
  <c r="M43" i="2"/>
  <c r="N43" i="2"/>
  <c r="J710" i="6"/>
  <c r="M42" i="2"/>
  <c r="N42" i="2"/>
  <c r="J694" i="6"/>
  <c r="M41" i="2"/>
  <c r="N41" i="2"/>
  <c r="J678" i="6"/>
  <c r="M40" i="2"/>
  <c r="N40" i="2"/>
  <c r="J660" i="6"/>
  <c r="M35" i="2"/>
  <c r="N35" i="2"/>
  <c r="J636" i="6"/>
  <c r="M34" i="2"/>
  <c r="N34" i="2"/>
  <c r="J617" i="6"/>
  <c r="M32" i="2"/>
  <c r="N32" i="2"/>
  <c r="J583" i="6"/>
  <c r="M31" i="2"/>
  <c r="N31" i="2"/>
  <c r="J565" i="6"/>
  <c r="M30" i="2"/>
  <c r="N30" i="2"/>
  <c r="J549" i="6"/>
  <c r="M29" i="2"/>
  <c r="N29" i="2"/>
  <c r="J531" i="6"/>
  <c r="M28" i="2"/>
  <c r="N28" i="2"/>
  <c r="J511" i="6"/>
  <c r="M26" i="2"/>
  <c r="N26" i="2"/>
  <c r="J471" i="6"/>
  <c r="M25" i="2"/>
  <c r="N25" i="2"/>
  <c r="J453" i="6"/>
  <c r="M24" i="2"/>
  <c r="N24" i="2"/>
  <c r="J435" i="6"/>
  <c r="M23" i="2"/>
  <c r="N23" i="2"/>
  <c r="J417" i="6"/>
  <c r="M22" i="2"/>
  <c r="N22" i="2"/>
  <c r="J399" i="6"/>
  <c r="M21" i="2"/>
  <c r="N21" i="2"/>
  <c r="J380" i="6"/>
  <c r="M20" i="2"/>
  <c r="N20" i="2"/>
  <c r="J359" i="6"/>
  <c r="M19" i="2"/>
  <c r="N19" i="2"/>
  <c r="J341" i="6"/>
  <c r="M18" i="2"/>
  <c r="N18" i="2"/>
  <c r="J323" i="6"/>
  <c r="M17" i="2"/>
  <c r="N17" i="2"/>
  <c r="J305" i="6"/>
  <c r="M16" i="2"/>
  <c r="N16" i="2"/>
  <c r="J287" i="6"/>
  <c r="M15" i="2"/>
  <c r="N15" i="2"/>
  <c r="J269" i="6"/>
  <c r="M13" i="2"/>
  <c r="N13" i="2"/>
  <c r="J246" i="6"/>
  <c r="M12" i="2"/>
  <c r="N12" i="2"/>
  <c r="J223" i="6"/>
  <c r="M11" i="2"/>
  <c r="N11" i="2"/>
  <c r="J205" i="6"/>
  <c r="M10" i="2"/>
  <c r="N10" i="2"/>
  <c r="J187" i="6"/>
  <c r="M9" i="2"/>
  <c r="N9" i="2"/>
  <c r="J169" i="6"/>
  <c r="M8" i="2"/>
  <c r="N8" i="2"/>
  <c r="J151" i="6"/>
  <c r="M7" i="2"/>
  <c r="N7" i="2"/>
  <c r="J135" i="6"/>
  <c r="M6" i="2"/>
  <c r="N6" i="2"/>
  <c r="J117" i="6"/>
  <c r="M5" i="2"/>
  <c r="N5" i="2"/>
  <c r="J99" i="6"/>
  <c r="M4" i="2"/>
  <c r="N4" i="2"/>
  <c r="J83" i="6"/>
  <c r="M193" i="2"/>
  <c r="N193" i="2"/>
  <c r="J754" i="13"/>
  <c r="J738" i="13"/>
  <c r="M190" i="2"/>
  <c r="N190" i="2"/>
  <c r="J718" i="13"/>
  <c r="M189" i="2"/>
  <c r="N189" i="2"/>
  <c r="J700" i="13"/>
  <c r="M188" i="2"/>
  <c r="N188" i="2"/>
  <c r="J684" i="13"/>
  <c r="M187" i="2"/>
  <c r="N187" i="2"/>
  <c r="J667" i="13"/>
  <c r="M186" i="2"/>
  <c r="N186" i="2"/>
  <c r="J649" i="13"/>
  <c r="M183" i="2"/>
  <c r="N183" i="2"/>
  <c r="J627" i="13"/>
  <c r="M182" i="2"/>
  <c r="N182" i="2"/>
  <c r="J604" i="13"/>
  <c r="M181" i="2"/>
  <c r="N181" i="2"/>
  <c r="J588" i="13"/>
  <c r="M179" i="2"/>
  <c r="N179" i="2"/>
  <c r="J555" i="13"/>
  <c r="M178" i="2"/>
  <c r="N178" i="2"/>
  <c r="J539" i="13"/>
  <c r="M170" i="2"/>
  <c r="N170" i="2"/>
  <c r="J449" i="13"/>
  <c r="M169" i="2"/>
  <c r="N169" i="2"/>
  <c r="J433" i="13"/>
  <c r="M168" i="2"/>
  <c r="N168" i="2"/>
  <c r="J417" i="13"/>
  <c r="M167" i="2"/>
  <c r="N167" i="2"/>
  <c r="J401" i="13"/>
  <c r="M166" i="2"/>
  <c r="N166" i="2"/>
  <c r="J385" i="13"/>
  <c r="M91" i="2"/>
  <c r="N91" i="2"/>
  <c r="J501" i="9"/>
  <c r="M90" i="2"/>
  <c r="N90" i="2"/>
  <c r="J485" i="9"/>
  <c r="M89" i="2"/>
  <c r="N89" i="2"/>
  <c r="J469" i="9"/>
  <c r="M88" i="2"/>
  <c r="N88" i="2"/>
  <c r="J453" i="9"/>
  <c r="M85" i="2"/>
  <c r="N85" i="2"/>
  <c r="J433" i="9"/>
  <c r="M84" i="2"/>
  <c r="N84" i="2"/>
  <c r="J417" i="9"/>
  <c r="M83" i="2"/>
  <c r="N83" i="2"/>
  <c r="J401" i="9"/>
  <c r="M82" i="2"/>
  <c r="N82" i="2"/>
  <c r="J385" i="9"/>
  <c r="M81" i="2"/>
  <c r="N81" i="2"/>
  <c r="J369" i="9"/>
  <c r="M78" i="2"/>
  <c r="N78" i="2"/>
  <c r="J349" i="9"/>
  <c r="M77" i="2"/>
  <c r="N77" i="2"/>
  <c r="J331" i="9"/>
  <c r="M74" i="2"/>
  <c r="N74" i="2"/>
  <c r="J283" i="9"/>
  <c r="U120" i="2"/>
  <c r="U121" i="2"/>
  <c r="U122" i="2"/>
  <c r="U123" i="2"/>
  <c r="U124" i="2"/>
  <c r="Y121" i="2"/>
  <c r="J249" i="9"/>
  <c r="U107" i="2"/>
  <c r="U108" i="2"/>
  <c r="U110" i="2"/>
  <c r="U111" i="2"/>
  <c r="U112" i="2"/>
  <c r="U113" i="2"/>
  <c r="U114" i="2"/>
  <c r="Y108" i="2"/>
  <c r="J222" i="9"/>
  <c r="U94" i="2"/>
  <c r="U95" i="2"/>
  <c r="Y95" i="2"/>
  <c r="J185" i="9"/>
  <c r="U80" i="2"/>
  <c r="U81" i="2"/>
  <c r="U83" i="2"/>
  <c r="U84" i="2"/>
  <c r="U85" i="2"/>
  <c r="U86" i="2"/>
  <c r="Y81" i="2"/>
  <c r="J137" i="9"/>
  <c r="U72" i="2"/>
  <c r="U73" i="2"/>
  <c r="U74" i="2"/>
  <c r="U75" i="2"/>
  <c r="U76" i="2"/>
  <c r="U77" i="2"/>
  <c r="U78" i="2"/>
  <c r="Y73" i="2"/>
  <c r="J110" i="9"/>
  <c r="U88" i="2"/>
  <c r="U89" i="2"/>
  <c r="U90" i="2"/>
  <c r="Y89" i="2"/>
  <c r="J150" i="9"/>
  <c r="U65" i="2"/>
  <c r="U66" i="2"/>
  <c r="U67" i="2"/>
  <c r="U68" i="2"/>
  <c r="U69" i="2"/>
  <c r="U70" i="2"/>
  <c r="Y65" i="2"/>
  <c r="J83" i="9"/>
  <c r="AB233" i="2"/>
  <c r="AD173" i="2"/>
  <c r="I171" i="13"/>
  <c r="Q40" i="2"/>
  <c r="Q41" i="2"/>
  <c r="Q42" i="2"/>
  <c r="Q43" i="2"/>
  <c r="Q44" i="2"/>
  <c r="A42" i="2"/>
  <c r="Q672" i="13"/>
  <c r="U635" i="13"/>
  <c r="L653" i="13"/>
  <c r="D671" i="13"/>
  <c r="D52" i="6"/>
  <c r="AO50" i="6"/>
  <c r="AH50" i="6"/>
  <c r="X50" i="6"/>
  <c r="L323" i="9"/>
  <c r="L441" i="13"/>
  <c r="L447" i="13"/>
  <c r="L602" i="6"/>
  <c r="L596" i="6"/>
  <c r="L626" i="6"/>
  <c r="L623" i="6"/>
  <c r="L127" i="6"/>
  <c r="AB515" i="13"/>
  <c r="S515" i="13"/>
  <c r="X513" i="13"/>
  <c r="AO3" i="18"/>
  <c r="C148" i="2"/>
  <c r="C61" i="2"/>
  <c r="C1" i="2"/>
  <c r="AN3" i="6"/>
  <c r="AO3" i="9"/>
  <c r="AN3" i="13"/>
  <c r="O10" i="6"/>
  <c r="AJ8" i="6"/>
  <c r="AJ6" i="6"/>
  <c r="AG8" i="6"/>
  <c r="AG6" i="6"/>
  <c r="AC4" i="6"/>
  <c r="AJ8" i="13"/>
  <c r="AG8" i="13"/>
  <c r="AG6" i="13"/>
  <c r="AJ6" i="13"/>
  <c r="W497" i="6"/>
  <c r="Y12" i="18"/>
  <c r="G12" i="18"/>
  <c r="E12" i="18"/>
  <c r="AJ10" i="18"/>
  <c r="AG10" i="18"/>
  <c r="O10" i="18"/>
  <c r="E10" i="18"/>
  <c r="AJ8" i="18"/>
  <c r="AG8" i="18"/>
  <c r="E8" i="18"/>
  <c r="AJ6" i="18"/>
  <c r="AG6" i="18"/>
  <c r="E6" i="18"/>
  <c r="L581" i="13"/>
  <c r="X42" i="6"/>
  <c r="I192" i="9"/>
  <c r="I167" i="9"/>
  <c r="I159" i="9"/>
  <c r="P43" i="9"/>
  <c r="P41" i="9"/>
  <c r="P39" i="9"/>
  <c r="P37" i="9"/>
  <c r="P35" i="9"/>
  <c r="P33" i="9"/>
  <c r="P31" i="9"/>
  <c r="P29" i="9"/>
  <c r="X48" i="6"/>
  <c r="X43" i="9"/>
  <c r="X46" i="6"/>
  <c r="X41" i="9"/>
  <c r="F754" i="13"/>
  <c r="L752" i="13"/>
  <c r="L750" i="13"/>
  <c r="L748" i="13"/>
  <c r="L746" i="13"/>
  <c r="L744" i="13"/>
  <c r="D742" i="13"/>
  <c r="F738" i="13"/>
  <c r="L736" i="13"/>
  <c r="L734" i="13"/>
  <c r="L732" i="13"/>
  <c r="L730" i="13"/>
  <c r="L729" i="13"/>
  <c r="L727" i="13"/>
  <c r="D725" i="13"/>
  <c r="AJ723" i="13"/>
  <c r="AC723" i="13"/>
  <c r="B722" i="13"/>
  <c r="A722" i="13"/>
  <c r="F718" i="13"/>
  <c r="L716" i="13"/>
  <c r="L714" i="13"/>
  <c r="L712" i="13"/>
  <c r="L710" i="13"/>
  <c r="L708" i="13"/>
  <c r="L706" i="13"/>
  <c r="D704" i="13"/>
  <c r="F700" i="13"/>
  <c r="L698" i="13"/>
  <c r="L696" i="13"/>
  <c r="L694" i="13"/>
  <c r="L692" i="13"/>
  <c r="L690" i="13"/>
  <c r="K688" i="13"/>
  <c r="D688" i="13"/>
  <c r="F684" i="13"/>
  <c r="L682" i="13"/>
  <c r="L680" i="13"/>
  <c r="L678" i="13"/>
  <c r="L676" i="13"/>
  <c r="L674" i="13"/>
  <c r="Z671" i="13"/>
  <c r="F667" i="13"/>
  <c r="L665" i="13"/>
  <c r="L663" i="13"/>
  <c r="L661" i="13"/>
  <c r="L659" i="13"/>
  <c r="L657" i="13"/>
  <c r="L655" i="13"/>
  <c r="D653" i="13"/>
  <c r="F649" i="13"/>
  <c r="L647" i="13"/>
  <c r="L645" i="13"/>
  <c r="L643" i="13"/>
  <c r="L641" i="13"/>
  <c r="L639" i="13"/>
  <c r="L637" i="13"/>
  <c r="D635" i="13"/>
  <c r="AJ633" i="13"/>
  <c r="AJ632" i="13"/>
  <c r="AC632" i="13"/>
  <c r="B631" i="13"/>
  <c r="A631" i="13"/>
  <c r="F627" i="13"/>
  <c r="L625" i="13"/>
  <c r="L621" i="13"/>
  <c r="L616" i="13"/>
  <c r="L614" i="13"/>
  <c r="L612" i="13"/>
  <c r="L610" i="13"/>
  <c r="D608" i="13"/>
  <c r="F604" i="13"/>
  <c r="L602" i="13"/>
  <c r="L600" i="13"/>
  <c r="L598" i="13"/>
  <c r="L596" i="13"/>
  <c r="L594" i="13"/>
  <c r="S592" i="13"/>
  <c r="D592" i="13"/>
  <c r="F588" i="13"/>
  <c r="L586" i="13"/>
  <c r="L584" i="13"/>
  <c r="L579" i="13"/>
  <c r="L577" i="13"/>
  <c r="I575" i="13"/>
  <c r="D575" i="13"/>
  <c r="F571" i="13"/>
  <c r="L569" i="13"/>
  <c r="L567" i="13"/>
  <c r="L565" i="13"/>
  <c r="L563" i="13"/>
  <c r="L561" i="13"/>
  <c r="D559" i="13"/>
  <c r="F555" i="13"/>
  <c r="L553" i="13"/>
  <c r="L551" i="13"/>
  <c r="L549" i="13"/>
  <c r="L547" i="13"/>
  <c r="L545" i="13"/>
  <c r="D543" i="13"/>
  <c r="F539" i="13"/>
  <c r="L537" i="13"/>
  <c r="L535" i="13"/>
  <c r="L533" i="13"/>
  <c r="L531" i="13"/>
  <c r="L529" i="13"/>
  <c r="D527" i="13"/>
  <c r="A523" i="13"/>
  <c r="AJ525" i="13"/>
  <c r="AJ524" i="13"/>
  <c r="AC524" i="13"/>
  <c r="B523" i="13"/>
  <c r="A196" i="2"/>
  <c r="A197" i="2"/>
  <c r="S503" i="13"/>
  <c r="S505" i="13"/>
  <c r="S507" i="13"/>
  <c r="W517" i="13"/>
  <c r="W40" i="6"/>
  <c r="X40" i="6"/>
  <c r="X37" i="9"/>
  <c r="X38" i="6"/>
  <c r="X35" i="9"/>
  <c r="X36" i="6"/>
  <c r="X33" i="9"/>
  <c r="X39" i="9"/>
  <c r="R35" i="13"/>
  <c r="X34" i="6"/>
  <c r="X31" i="9"/>
  <c r="X32" i="6"/>
  <c r="X29" i="9"/>
  <c r="L718" i="6"/>
  <c r="L716" i="6"/>
  <c r="L708" i="6"/>
  <c r="L702" i="6"/>
  <c r="L634" i="6"/>
  <c r="L573" i="6"/>
  <c r="L547" i="6"/>
  <c r="L544" i="6"/>
  <c r="L542" i="6"/>
  <c r="L540" i="6"/>
  <c r="L538" i="6"/>
  <c r="Q536" i="6"/>
  <c r="D535" i="6"/>
  <c r="M515" i="6"/>
  <c r="L522" i="6"/>
  <c r="O489" i="6"/>
  <c r="O487" i="6"/>
  <c r="O485" i="6"/>
  <c r="O481" i="6"/>
  <c r="O477" i="6"/>
  <c r="L461" i="6"/>
  <c r="L443" i="6"/>
  <c r="L317" i="6"/>
  <c r="L229" i="6"/>
  <c r="L197" i="6"/>
  <c r="L145" i="6"/>
  <c r="L141" i="6"/>
  <c r="AJ10" i="9"/>
  <c r="AG10" i="9"/>
  <c r="O10" i="9"/>
  <c r="AJ8" i="9"/>
  <c r="AG8" i="9"/>
  <c r="AJ6" i="9"/>
  <c r="AG6" i="9"/>
  <c r="E10" i="9"/>
  <c r="E8" i="9"/>
  <c r="E6" i="9"/>
  <c r="K16" i="13"/>
  <c r="AH16" i="13"/>
  <c r="W16" i="13"/>
  <c r="O12" i="13"/>
  <c r="AJ10" i="6"/>
  <c r="AG10" i="6"/>
  <c r="E10" i="6"/>
  <c r="E8" i="6"/>
  <c r="E6" i="6"/>
  <c r="AC6" i="13"/>
  <c r="AB6" i="13"/>
  <c r="C6" i="13"/>
  <c r="G23" i="19"/>
  <c r="AG23" i="19"/>
  <c r="F13" i="19"/>
  <c r="U58" i="13"/>
  <c r="AP58" i="13"/>
  <c r="F4" i="6"/>
  <c r="F4" i="18"/>
  <c r="F4" i="9"/>
  <c r="E73" i="10"/>
  <c r="E72" i="10"/>
  <c r="P51" i="9"/>
  <c r="AG53" i="9"/>
  <c r="P59" i="9"/>
  <c r="X64" i="6"/>
  <c r="X59" i="9"/>
  <c r="AE49" i="9"/>
  <c r="AA54" i="6"/>
  <c r="AA49" i="9"/>
  <c r="AP45" i="9"/>
  <c r="AI45" i="9"/>
  <c r="AA45" i="9"/>
  <c r="H44" i="2"/>
  <c r="J44" i="2"/>
  <c r="K44" i="2"/>
  <c r="L44" i="2"/>
  <c r="R44" i="2"/>
  <c r="AN44" i="2"/>
  <c r="R52" i="13"/>
  <c r="P61" i="9"/>
  <c r="P57" i="9"/>
  <c r="AQ53" i="9"/>
  <c r="X53" i="9"/>
  <c r="R53" i="9"/>
  <c r="P45" i="9"/>
  <c r="X62" i="6"/>
  <c r="X57" i="9"/>
  <c r="AC515" i="13"/>
  <c r="Q34" i="2"/>
  <c r="Q35" i="2"/>
  <c r="A36" i="2"/>
  <c r="Q88" i="2"/>
  <c r="Q89" i="2"/>
  <c r="Q90" i="2"/>
  <c r="Q91" i="2"/>
  <c r="A90" i="2"/>
  <c r="Q81" i="2"/>
  <c r="Q82" i="2"/>
  <c r="Q83" i="2"/>
  <c r="Q84" i="2"/>
  <c r="Q85" i="2"/>
  <c r="A83" i="2"/>
  <c r="Q64" i="2"/>
  <c r="Q65" i="2"/>
  <c r="Q66" i="2"/>
  <c r="Q67" i="2"/>
  <c r="Q68" i="2"/>
  <c r="Q69" i="2"/>
  <c r="Q70" i="2"/>
  <c r="A66" i="2"/>
  <c r="Q193" i="2"/>
  <c r="Q194" i="2"/>
  <c r="A195" i="2"/>
  <c r="J193" i="2"/>
  <c r="K193" i="2"/>
  <c r="L193" i="2"/>
  <c r="P193" i="2"/>
  <c r="J194" i="2"/>
  <c r="K194" i="2"/>
  <c r="L194" i="2"/>
  <c r="M194" i="2"/>
  <c r="P194" i="2"/>
  <c r="A194" i="2"/>
  <c r="P44" i="2"/>
  <c r="J728" i="6"/>
  <c r="F728" i="6"/>
  <c r="M129" i="13"/>
  <c r="M133" i="13"/>
  <c r="M137" i="13"/>
  <c r="M175" i="13"/>
  <c r="AG168" i="2"/>
  <c r="AG167" i="2"/>
  <c r="AG166" i="2"/>
  <c r="AG165" i="2"/>
  <c r="AC198" i="2"/>
  <c r="M461" i="13"/>
  <c r="AG257" i="2"/>
  <c r="M463" i="13"/>
  <c r="AG258" i="2"/>
  <c r="AC257" i="2"/>
  <c r="V77" i="13"/>
  <c r="M479" i="13"/>
  <c r="AA214" i="2"/>
  <c r="AG256" i="2"/>
  <c r="P477" i="13"/>
  <c r="R54" i="13"/>
  <c r="F348" i="13"/>
  <c r="E348" i="13"/>
  <c r="J364" i="13"/>
  <c r="C213" i="10"/>
  <c r="E213" i="10"/>
  <c r="G348" i="13"/>
  <c r="M360" i="13"/>
  <c r="AH256" i="2"/>
  <c r="E350" i="13"/>
  <c r="M350" i="13"/>
  <c r="AG249" i="2"/>
  <c r="M352" i="13"/>
  <c r="M356" i="13"/>
  <c r="M358" i="13"/>
  <c r="M354" i="13"/>
  <c r="L393" i="13"/>
  <c r="S509" i="13"/>
  <c r="AB156" i="2"/>
  <c r="M149" i="13"/>
  <c r="AB150" i="2"/>
  <c r="AA276" i="2"/>
  <c r="AA278" i="2"/>
  <c r="AA275" i="2"/>
  <c r="AA279" i="2"/>
  <c r="T225" i="2"/>
  <c r="AA273" i="2"/>
  <c r="T221" i="2"/>
  <c r="AA272" i="2"/>
  <c r="T220" i="2"/>
  <c r="M513" i="13"/>
  <c r="M141" i="13"/>
  <c r="M119" i="13"/>
  <c r="AC276" i="2"/>
  <c r="AA277" i="2"/>
  <c r="AC277" i="2"/>
  <c r="M153" i="13"/>
  <c r="M127" i="13"/>
  <c r="M145" i="13"/>
  <c r="M161" i="13"/>
  <c r="M123" i="13"/>
  <c r="Y150" i="2"/>
  <c r="T226" i="2"/>
  <c r="M203" i="13"/>
  <c r="M195" i="13"/>
  <c r="M207" i="13"/>
  <c r="M199" i="13"/>
  <c r="M191" i="13"/>
  <c r="M173" i="13"/>
  <c r="M183" i="13"/>
  <c r="M187" i="13"/>
  <c r="M157" i="13"/>
  <c r="E35"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C95" i="10"/>
  <c r="E95" i="10"/>
  <c r="C96" i="10"/>
  <c r="E96" i="10"/>
  <c r="C97" i="10"/>
  <c r="E97"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C145" i="10"/>
  <c r="D145" i="10"/>
  <c r="C146" i="10"/>
  <c r="D146" i="10"/>
  <c r="C147" i="10"/>
  <c r="M121" i="13"/>
  <c r="AG163" i="2"/>
  <c r="C148" i="10"/>
  <c r="C149" i="10"/>
  <c r="C150" i="10"/>
  <c r="C151" i="10"/>
  <c r="C152" i="10"/>
  <c r="C153" i="10"/>
  <c r="C154" i="10"/>
  <c r="C155" i="10"/>
  <c r="E155" i="10"/>
  <c r="F156" i="10"/>
  <c r="E156" i="10"/>
  <c r="C156" i="10"/>
  <c r="C157" i="10"/>
  <c r="C158" i="10"/>
  <c r="C159" i="10"/>
  <c r="C160" i="10"/>
  <c r="C161" i="10"/>
  <c r="C162" i="10"/>
  <c r="C163" i="10"/>
  <c r="C164" i="10"/>
  <c r="M197" i="13"/>
  <c r="C165" i="10"/>
  <c r="C166" i="10"/>
  <c r="M205" i="13"/>
  <c r="C167" i="10"/>
  <c r="C168" i="10"/>
  <c r="E168" i="10"/>
  <c r="C171" i="10"/>
  <c r="C172" i="10"/>
  <c r="E172" i="10"/>
  <c r="C177" i="10"/>
  <c r="C179" i="10"/>
  <c r="C184" i="10"/>
  <c r="C185" i="10"/>
  <c r="C186" i="10"/>
  <c r="C190" i="10"/>
  <c r="D190" i="10"/>
  <c r="C201" i="10"/>
  <c r="E201" i="10"/>
  <c r="C205" i="10"/>
  <c r="E205" i="10"/>
  <c r="D239" i="10"/>
  <c r="D240" i="10"/>
  <c r="C206" i="10"/>
  <c r="C207" i="10"/>
  <c r="C208" i="10"/>
  <c r="C209" i="10"/>
  <c r="C210" i="10"/>
  <c r="C211" i="10"/>
  <c r="C212" i="10"/>
  <c r="M125" i="13"/>
  <c r="AG164" i="2"/>
  <c r="AH163" i="2"/>
  <c r="C202" i="10"/>
  <c r="C203" i="10"/>
  <c r="C204" i="10"/>
  <c r="C180" i="10"/>
  <c r="C181" i="10"/>
  <c r="C182" i="10"/>
  <c r="F310" i="13"/>
  <c r="C169" i="10"/>
  <c r="C170" i="10"/>
  <c r="F157" i="10"/>
  <c r="E157" i="10"/>
  <c r="F184" i="10"/>
  <c r="F185" i="10"/>
  <c r="F186" i="10"/>
  <c r="F179" i="10"/>
  <c r="E179" i="10"/>
  <c r="E206" i="10"/>
  <c r="E207" i="10"/>
  <c r="E208" i="10"/>
  <c r="E209" i="10"/>
  <c r="E210" i="10"/>
  <c r="E211" i="10"/>
  <c r="E212" i="10"/>
  <c r="F180" i="10"/>
  <c r="E180" i="10"/>
  <c r="E202" i="10"/>
  <c r="E203" i="10"/>
  <c r="E204" i="10"/>
  <c r="E169" i="10"/>
  <c r="E170" i="10"/>
  <c r="E184" i="10"/>
  <c r="E185" i="10"/>
  <c r="E186" i="10"/>
  <c r="F158" i="10"/>
  <c r="E158" i="10"/>
  <c r="F181" i="10"/>
  <c r="F182" i="10"/>
  <c r="F159" i="10"/>
  <c r="E159" i="10"/>
  <c r="M169" i="13"/>
  <c r="E181" i="10"/>
  <c r="E182" i="10"/>
  <c r="M135" i="13"/>
  <c r="AC281" i="2"/>
  <c r="E346" i="13"/>
  <c r="T190" i="2"/>
  <c r="T189" i="2"/>
  <c r="AC178" i="2"/>
  <c r="AC173" i="2"/>
  <c r="M171" i="13"/>
  <c r="AC172" i="2"/>
  <c r="AC171" i="2"/>
  <c r="AC170" i="2"/>
  <c r="AC169" i="2"/>
  <c r="AC168" i="2"/>
  <c r="AC165" i="2"/>
  <c r="AC164" i="2"/>
  <c r="AC163" i="2"/>
  <c r="AC203" i="2"/>
  <c r="AB203" i="2"/>
  <c r="B91" i="7"/>
  <c r="C91" i="7"/>
  <c r="B66" i="7"/>
  <c r="C66" i="7"/>
  <c r="B65" i="7"/>
  <c r="C65" i="7"/>
  <c r="Y243" i="2"/>
  <c r="T198" i="2"/>
  <c r="T194" i="2"/>
  <c r="T195" i="2"/>
  <c r="T196" i="2"/>
  <c r="AB166" i="2"/>
  <c r="AB165" i="2"/>
  <c r="AC256" i="2"/>
  <c r="Q173" i="2"/>
  <c r="Q172" i="2"/>
  <c r="Q174" i="2"/>
  <c r="A174" i="2"/>
  <c r="I163" i="2"/>
  <c r="R163" i="2"/>
  <c r="AA221" i="2"/>
  <c r="AA220" i="2"/>
  <c r="T185" i="2"/>
  <c r="I162" i="2"/>
  <c r="Q162" i="2"/>
  <c r="I161" i="2"/>
  <c r="I160" i="2"/>
  <c r="I159" i="2"/>
  <c r="I158" i="2"/>
  <c r="I152" i="2"/>
  <c r="I151" i="2"/>
  <c r="I154" i="2"/>
  <c r="Q154" i="2"/>
  <c r="I153" i="2"/>
  <c r="Q153" i="2"/>
  <c r="W42" i="6"/>
  <c r="AA44" i="6"/>
  <c r="AG254" i="2"/>
  <c r="T154" i="2"/>
  <c r="Q151" i="2"/>
  <c r="R162" i="2"/>
  <c r="R161" i="2"/>
  <c r="Q160" i="2"/>
  <c r="R160" i="2"/>
  <c r="R159" i="2"/>
  <c r="Q158" i="2"/>
  <c r="R158" i="2"/>
  <c r="Q161" i="2"/>
  <c r="Q159" i="2"/>
  <c r="AG253" i="2"/>
  <c r="AG251" i="2"/>
  <c r="AG250" i="2"/>
  <c r="AG252" i="2"/>
  <c r="Q163" i="2"/>
  <c r="Q152" i="2"/>
  <c r="A153" i="2"/>
  <c r="AC275" i="2"/>
  <c r="AA274" i="2"/>
  <c r="AC274" i="2"/>
  <c r="AC273" i="2"/>
  <c r="AC272" i="2"/>
  <c r="AB238" i="2"/>
  <c r="C217" i="2"/>
  <c r="AA282" i="2"/>
  <c r="T207" i="2"/>
  <c r="T206" i="2"/>
  <c r="T205" i="2"/>
  <c r="T204" i="2"/>
  <c r="T217" i="2"/>
  <c r="T216" i="2"/>
  <c r="T215" i="2"/>
  <c r="T214" i="2"/>
  <c r="T213" i="2"/>
  <c r="T212" i="2"/>
  <c r="T211" i="2"/>
  <c r="T210" i="2"/>
  <c r="AC259" i="2"/>
  <c r="AC258" i="2"/>
  <c r="AC269" i="2"/>
  <c r="AC268" i="2"/>
  <c r="AC267" i="2"/>
  <c r="AC266" i="2"/>
  <c r="AC265" i="2"/>
  <c r="AC264" i="2"/>
  <c r="AC263" i="2"/>
  <c r="AC262" i="2"/>
  <c r="AC208" i="2"/>
  <c r="AC211" i="2"/>
  <c r="AA187" i="2"/>
  <c r="AD198" i="2"/>
  <c r="G163" i="2"/>
  <c r="T191" i="2"/>
  <c r="T188" i="2"/>
  <c r="AC250" i="2"/>
  <c r="AC249" i="2"/>
  <c r="AC248" i="2"/>
  <c r="AC247" i="2"/>
  <c r="AC241" i="2"/>
  <c r="AC240" i="2"/>
  <c r="AC239" i="2"/>
  <c r="AC234" i="2"/>
  <c r="AC233" i="2"/>
  <c r="AC232" i="2"/>
  <c r="AC231" i="2"/>
  <c r="AC219" i="2"/>
  <c r="Y215" i="2"/>
  <c r="T184" i="2"/>
  <c r="AC210" i="2"/>
  <c r="AC209" i="2"/>
  <c r="AC196" i="2"/>
  <c r="AC195" i="2"/>
  <c r="AC194" i="2"/>
  <c r="T181" i="2"/>
  <c r="T175" i="2"/>
  <c r="T174" i="2"/>
  <c r="T173" i="2"/>
  <c r="T172" i="2"/>
  <c r="P457" i="13"/>
  <c r="U203" i="2"/>
  <c r="AD194" i="2"/>
  <c r="AD195" i="2"/>
  <c r="AE194" i="2"/>
  <c r="T222" i="2"/>
  <c r="T170" i="2"/>
  <c r="T224" i="2"/>
  <c r="AA281" i="2"/>
  <c r="T228" i="2"/>
  <c r="L163" i="2"/>
  <c r="M163" i="2"/>
  <c r="J163" i="2"/>
  <c r="N163" i="2"/>
  <c r="K163" i="2"/>
  <c r="H163" i="2"/>
  <c r="AC279" i="2"/>
  <c r="U208" i="2"/>
  <c r="T223" i="2"/>
  <c r="T208" i="2"/>
  <c r="U204" i="2"/>
  <c r="T202" i="2"/>
  <c r="AC220" i="2"/>
  <c r="T183" i="2"/>
  <c r="U202" i="2"/>
  <c r="AL457" i="13"/>
  <c r="I173" i="2"/>
  <c r="G173" i="2"/>
  <c r="T192" i="2"/>
  <c r="P163" i="2"/>
  <c r="U183" i="2"/>
  <c r="AC185" i="2"/>
  <c r="AC184" i="2"/>
  <c r="AC183" i="2"/>
  <c r="AC182" i="2"/>
  <c r="AC181" i="2"/>
  <c r="AC180" i="2"/>
  <c r="AC179" i="2"/>
  <c r="T169" i="2"/>
  <c r="T168" i="2"/>
  <c r="T167" i="2"/>
  <c r="T166" i="2"/>
  <c r="T165" i="2"/>
  <c r="T164" i="2"/>
  <c r="T163" i="2"/>
  <c r="T157" i="2"/>
  <c r="T159" i="2"/>
  <c r="T158" i="2"/>
  <c r="AB177" i="2"/>
  <c r="AB176" i="2"/>
  <c r="AB175" i="2"/>
  <c r="AB174" i="2"/>
  <c r="AB173" i="2"/>
  <c r="T156" i="2"/>
  <c r="T152" i="2"/>
  <c r="T155" i="2"/>
  <c r="T161" i="2"/>
  <c r="T153" i="2"/>
  <c r="G152" i="2"/>
  <c r="G151" i="2"/>
  <c r="Q176" i="2"/>
  <c r="Q175" i="2"/>
  <c r="Q155" i="2"/>
  <c r="Q164" i="2"/>
  <c r="AN201" i="2"/>
  <c r="AN200" i="2"/>
  <c r="AN199" i="2"/>
  <c r="AN198" i="2"/>
  <c r="AN197" i="2"/>
  <c r="AN196" i="2"/>
  <c r="AN195" i="2"/>
  <c r="AN194" i="2"/>
  <c r="AN193" i="2"/>
  <c r="AN192" i="2"/>
  <c r="AN191" i="2"/>
  <c r="AN190" i="2"/>
  <c r="AN189" i="2"/>
  <c r="AN188" i="2"/>
  <c r="AN187" i="2"/>
  <c r="AN186" i="2"/>
  <c r="AN185" i="2"/>
  <c r="AN184" i="2"/>
  <c r="AN183" i="2"/>
  <c r="AN182" i="2"/>
  <c r="AN181" i="2"/>
  <c r="AN179" i="2"/>
  <c r="AN178" i="2"/>
  <c r="AN177" i="2"/>
  <c r="AN176" i="2"/>
  <c r="AN175" i="2"/>
  <c r="AN172" i="2"/>
  <c r="AN164" i="2"/>
  <c r="AN153" i="2"/>
  <c r="AN152" i="2"/>
  <c r="AN151" i="2"/>
  <c r="S511" i="13"/>
  <c r="Y513" i="13"/>
  <c r="M491" i="13"/>
  <c r="M489" i="13"/>
  <c r="M487" i="13"/>
  <c r="M483" i="13"/>
  <c r="M481" i="13"/>
  <c r="AB256" i="2"/>
  <c r="M471" i="13"/>
  <c r="M465" i="13"/>
  <c r="AA249" i="2"/>
  <c r="AA248" i="2"/>
  <c r="J291" i="13"/>
  <c r="AB231" i="2"/>
  <c r="M139" i="13"/>
  <c r="B69" i="7"/>
  <c r="M143" i="13"/>
  <c r="B70" i="7"/>
  <c r="AB194" i="2"/>
  <c r="AA280" i="2"/>
  <c r="C214" i="10"/>
  <c r="G172" i="2"/>
  <c r="AC278" i="2"/>
  <c r="T227" i="2"/>
  <c r="T200" i="2"/>
  <c r="T199" i="2"/>
  <c r="E187" i="10"/>
  <c r="E188" i="10"/>
  <c r="C187" i="10"/>
  <c r="C188" i="10"/>
  <c r="B87" i="7"/>
  <c r="F291" i="13"/>
  <c r="J173" i="2"/>
  <c r="H159" i="2"/>
  <c r="G159" i="2"/>
  <c r="L152" i="2"/>
  <c r="M152" i="2"/>
  <c r="J152" i="2"/>
  <c r="N152" i="2"/>
  <c r="K152" i="2"/>
  <c r="H152" i="2"/>
  <c r="K151" i="2"/>
  <c r="M151" i="2"/>
  <c r="H151" i="2"/>
  <c r="L151" i="2"/>
  <c r="J151" i="2"/>
  <c r="N151" i="2"/>
  <c r="H172" i="2"/>
  <c r="U162" i="2"/>
  <c r="H154" i="2"/>
  <c r="AL275" i="13"/>
  <c r="T162" i="2"/>
  <c r="H153" i="2"/>
  <c r="T160" i="2"/>
  <c r="M93" i="13"/>
  <c r="M91" i="13"/>
  <c r="M89" i="13"/>
  <c r="I209" i="13"/>
  <c r="I205" i="13"/>
  <c r="I201" i="13"/>
  <c r="I197" i="13"/>
  <c r="I193" i="13"/>
  <c r="I189" i="13"/>
  <c r="I185" i="13"/>
  <c r="I177" i="13"/>
  <c r="M167" i="13"/>
  <c r="M165" i="13"/>
  <c r="M163" i="13"/>
  <c r="I159" i="13"/>
  <c r="I155" i="13"/>
  <c r="I151" i="13"/>
  <c r="I143" i="13"/>
  <c r="I139" i="13"/>
  <c r="I147" i="13"/>
  <c r="G203" i="5"/>
  <c r="AA250" i="2"/>
  <c r="AA245" i="2"/>
  <c r="AA244" i="2"/>
  <c r="AB243" i="2"/>
  <c r="AB237" i="2"/>
  <c r="AC235" i="2"/>
  <c r="M316" i="13"/>
  <c r="AB230" i="2"/>
  <c r="AB229" i="2"/>
  <c r="AB228" i="2"/>
  <c r="AB227" i="2"/>
  <c r="AB226" i="2"/>
  <c r="AB225" i="2"/>
  <c r="AB224" i="2"/>
  <c r="AB219" i="2"/>
  <c r="AB218" i="2"/>
  <c r="AB217" i="2"/>
  <c r="AB216" i="2"/>
  <c r="AB215" i="2"/>
  <c r="AC214" i="2"/>
  <c r="M283" i="13"/>
  <c r="E214" i="10"/>
  <c r="M279" i="13"/>
  <c r="M322" i="13"/>
  <c r="AG235" i="2"/>
  <c r="G154" i="2"/>
  <c r="K154" i="2"/>
  <c r="AL181" i="13"/>
  <c r="T218" i="2"/>
  <c r="T201" i="2"/>
  <c r="T197" i="2"/>
  <c r="E189" i="10"/>
  <c r="C189" i="10"/>
  <c r="P152" i="2"/>
  <c r="AO152" i="2"/>
  <c r="M159" i="2"/>
  <c r="L159" i="2"/>
  <c r="K159" i="2"/>
  <c r="N159" i="2"/>
  <c r="J159" i="2"/>
  <c r="M172" i="2"/>
  <c r="L172" i="2"/>
  <c r="N172" i="2"/>
  <c r="K172" i="2"/>
  <c r="J172" i="2"/>
  <c r="P151" i="2"/>
  <c r="AC223" i="2"/>
  <c r="M298" i="13"/>
  <c r="H150" i="2"/>
  <c r="M154" i="2"/>
  <c r="T151" i="2"/>
  <c r="AB244" i="2"/>
  <c r="AA212" i="2"/>
  <c r="AB211" i="2"/>
  <c r="AB210" i="2"/>
  <c r="AB209" i="2"/>
  <c r="AB208" i="2"/>
  <c r="AB207" i="2"/>
  <c r="AC207" i="2"/>
  <c r="AB206" i="2"/>
  <c r="J154" i="2"/>
  <c r="N154" i="2"/>
  <c r="AC267" i="13"/>
  <c r="M281" i="13"/>
  <c r="AG215" i="2"/>
  <c r="AB214" i="2"/>
  <c r="U218" i="2"/>
  <c r="G174" i="2"/>
  <c r="AO151" i="2"/>
  <c r="AG214" i="2"/>
  <c r="AG216" i="2"/>
  <c r="P312" i="13"/>
  <c r="U192" i="2"/>
  <c r="M334" i="13"/>
  <c r="M338" i="13"/>
  <c r="AG223" i="2"/>
  <c r="U186" i="2"/>
  <c r="M306" i="13"/>
  <c r="L154" i="2"/>
  <c r="P154" i="2"/>
  <c r="AP164" i="2"/>
  <c r="AD223" i="2"/>
  <c r="J297" i="13"/>
  <c r="M285" i="13"/>
  <c r="P159" i="2"/>
  <c r="AO176" i="2"/>
  <c r="C87" i="7"/>
  <c r="P172" i="2"/>
  <c r="AC206" i="2"/>
  <c r="AC242" i="2"/>
  <c r="AD242" i="2"/>
  <c r="J331" i="13"/>
  <c r="K328" i="13"/>
  <c r="AD214" i="2"/>
  <c r="AC212" i="2"/>
  <c r="T178" i="2"/>
  <c r="T186" i="2"/>
  <c r="J238" i="13"/>
  <c r="B84" i="7"/>
  <c r="F238" i="13"/>
  <c r="AC205" i="2"/>
  <c r="M261" i="13"/>
  <c r="AB202" i="2"/>
  <c r="AB201" i="2"/>
  <c r="AB200" i="2"/>
  <c r="AB199" i="2"/>
  <c r="AB198" i="2"/>
  <c r="H174" i="2"/>
  <c r="AL501" i="13"/>
  <c r="AO184" i="2"/>
  <c r="J278" i="13"/>
  <c r="G161" i="2"/>
  <c r="AL312" i="13"/>
  <c r="H161" i="2"/>
  <c r="AG205" i="2"/>
  <c r="U176" i="2"/>
  <c r="AH214" i="2"/>
  <c r="K275" i="13"/>
  <c r="AD205" i="2"/>
  <c r="J260" i="13"/>
  <c r="AC186" i="2"/>
  <c r="AO166" i="2"/>
  <c r="AO168" i="2"/>
  <c r="AO165" i="2"/>
  <c r="AO167" i="2"/>
  <c r="AO169" i="2"/>
  <c r="N174" i="2"/>
  <c r="K174" i="2"/>
  <c r="M174" i="2"/>
  <c r="L174" i="2"/>
  <c r="J174" i="2"/>
  <c r="AO171" i="2"/>
  <c r="AO170" i="2"/>
  <c r="G160" i="2"/>
  <c r="P276" i="13"/>
  <c r="M161" i="2"/>
  <c r="J161" i="2"/>
  <c r="N161" i="2"/>
  <c r="L161" i="2"/>
  <c r="K161" i="2"/>
  <c r="P258" i="13"/>
  <c r="M160" i="2"/>
  <c r="L160" i="2"/>
  <c r="J160" i="2"/>
  <c r="N160" i="2"/>
  <c r="K160" i="2"/>
  <c r="I157" i="2"/>
  <c r="P174" i="2"/>
  <c r="AO186" i="2"/>
  <c r="H160" i="2"/>
  <c r="AP171" i="2"/>
  <c r="AL294" i="13"/>
  <c r="AC197" i="2"/>
  <c r="AA197" i="2"/>
  <c r="N194" i="2"/>
  <c r="H194" i="2"/>
  <c r="M244" i="13"/>
  <c r="M248" i="13"/>
  <c r="AG192" i="2"/>
  <c r="M246" i="13"/>
  <c r="AG191" i="2"/>
  <c r="M250" i="13"/>
  <c r="AG193" i="2"/>
  <c r="AG190" i="2"/>
  <c r="P161" i="2"/>
  <c r="AO178" i="2"/>
  <c r="AD197" i="2"/>
  <c r="J243" i="13"/>
  <c r="R157" i="2"/>
  <c r="R164" i="2"/>
  <c r="Q157" i="2"/>
  <c r="A159" i="2"/>
  <c r="N173" i="2"/>
  <c r="L173" i="2"/>
  <c r="M173" i="2"/>
  <c r="K173" i="2"/>
  <c r="AO201" i="2"/>
  <c r="P160" i="2"/>
  <c r="AO177" i="2"/>
  <c r="N196" i="2"/>
  <c r="M196" i="2"/>
  <c r="H193" i="2"/>
  <c r="H192" i="2"/>
  <c r="AB193" i="2"/>
  <c r="L190" i="2"/>
  <c r="K190" i="2"/>
  <c r="J190" i="2"/>
  <c r="I190" i="2"/>
  <c r="H190" i="2"/>
  <c r="AB192" i="2"/>
  <c r="Q189" i="2"/>
  <c r="L189" i="2"/>
  <c r="K189" i="2"/>
  <c r="J189" i="2"/>
  <c r="H189" i="2"/>
  <c r="AB191" i="2"/>
  <c r="Q188" i="2"/>
  <c r="L188" i="2"/>
  <c r="K188" i="2"/>
  <c r="J188" i="2"/>
  <c r="H188" i="2"/>
  <c r="J720" i="13"/>
  <c r="F720" i="13"/>
  <c r="AO200" i="2"/>
  <c r="P188" i="2"/>
  <c r="AO197" i="2"/>
  <c r="P189" i="2"/>
  <c r="AO198" i="2"/>
  <c r="P190" i="2"/>
  <c r="P173" i="2"/>
  <c r="A173" i="2"/>
  <c r="M197" i="2"/>
  <c r="Q190" i="2"/>
  <c r="AB190" i="2"/>
  <c r="L187" i="2"/>
  <c r="K187" i="2"/>
  <c r="J187" i="2"/>
  <c r="I187" i="2"/>
  <c r="H187" i="2"/>
  <c r="I186" i="2"/>
  <c r="H186" i="2"/>
  <c r="H185" i="2"/>
  <c r="A189" i="2"/>
  <c r="A191" i="2"/>
  <c r="AB189" i="2"/>
  <c r="L186" i="2"/>
  <c r="K186" i="2"/>
  <c r="J186" i="2"/>
  <c r="P186" i="2"/>
  <c r="P187" i="2"/>
  <c r="A187" i="2"/>
  <c r="AB188" i="2"/>
  <c r="Q166" i="2"/>
  <c r="L166" i="2"/>
  <c r="K166" i="2"/>
  <c r="J166" i="2"/>
  <c r="H166" i="2"/>
  <c r="L183" i="2"/>
  <c r="K183" i="2"/>
  <c r="J183" i="2"/>
  <c r="I183" i="2"/>
  <c r="H183" i="2"/>
  <c r="L167" i="2"/>
  <c r="K167" i="2"/>
  <c r="J167" i="2"/>
  <c r="I167" i="2"/>
  <c r="H167" i="2"/>
  <c r="Q182" i="2"/>
  <c r="L182" i="2"/>
  <c r="K182" i="2"/>
  <c r="J182" i="2"/>
  <c r="H182" i="2"/>
  <c r="Q181" i="2"/>
  <c r="L181" i="2"/>
  <c r="K181" i="2"/>
  <c r="J181" i="2"/>
  <c r="H181" i="2"/>
  <c r="Q180" i="2"/>
  <c r="N180" i="2"/>
  <c r="M180" i="2"/>
  <c r="L180" i="2"/>
  <c r="K180" i="2"/>
  <c r="J180" i="2"/>
  <c r="H180" i="2"/>
  <c r="Q179" i="2"/>
  <c r="L179" i="2"/>
  <c r="K179" i="2"/>
  <c r="J179" i="2"/>
  <c r="H179" i="2"/>
  <c r="Q178" i="2"/>
  <c r="J541" i="13"/>
  <c r="F541" i="13"/>
  <c r="L178" i="2"/>
  <c r="K178" i="2"/>
  <c r="J178" i="2"/>
  <c r="H178" i="2"/>
  <c r="Q170" i="2"/>
  <c r="L170" i="2"/>
  <c r="K170" i="2"/>
  <c r="J170" i="2"/>
  <c r="H170" i="2"/>
  <c r="Q169" i="2"/>
  <c r="J435" i="13"/>
  <c r="L169" i="2"/>
  <c r="K169" i="2"/>
  <c r="J169" i="2"/>
  <c r="H169" i="2"/>
  <c r="Q168" i="2"/>
  <c r="L168" i="2"/>
  <c r="K168" i="2"/>
  <c r="J168" i="2"/>
  <c r="H168" i="2"/>
  <c r="AB162" i="2"/>
  <c r="AB160" i="2"/>
  <c r="AB159" i="2"/>
  <c r="AB158" i="2"/>
  <c r="AB157" i="2"/>
  <c r="AB154" i="2"/>
  <c r="AB153" i="2"/>
  <c r="AB152" i="2"/>
  <c r="AB151" i="2"/>
  <c r="AC151" i="2"/>
  <c r="P86" i="13"/>
  <c r="AC150" i="2"/>
  <c r="F435" i="13"/>
  <c r="F419" i="13"/>
  <c r="J387" i="13"/>
  <c r="F387" i="13"/>
  <c r="J419" i="13"/>
  <c r="P183" i="2"/>
  <c r="AO199" i="2"/>
  <c r="J606" i="13"/>
  <c r="F606" i="13"/>
  <c r="J573" i="13"/>
  <c r="F573" i="13"/>
  <c r="J571" i="13"/>
  <c r="P179" i="2"/>
  <c r="J557" i="13"/>
  <c r="F557" i="13"/>
  <c r="J451" i="13"/>
  <c r="F451" i="13"/>
  <c r="AB187" i="2"/>
  <c r="AC160" i="2"/>
  <c r="AC156" i="2"/>
  <c r="J100" i="13"/>
  <c r="M228" i="13"/>
  <c r="M224" i="13"/>
  <c r="AG187" i="2"/>
  <c r="M232" i="13"/>
  <c r="AG188" i="2"/>
  <c r="AG189" i="2"/>
  <c r="H177" i="2"/>
  <c r="A181" i="2"/>
  <c r="A182" i="2"/>
  <c r="P181" i="2"/>
  <c r="H165" i="2"/>
  <c r="P166" i="2"/>
  <c r="P169" i="2"/>
  <c r="AO182" i="2"/>
  <c r="C150" i="2"/>
  <c r="AE156" i="2"/>
  <c r="AF156" i="2"/>
  <c r="O99" i="13"/>
  <c r="P178" i="2"/>
  <c r="AO188" i="2"/>
  <c r="P180" i="2"/>
  <c r="AO189" i="2"/>
  <c r="AO190" i="2"/>
  <c r="P182" i="2"/>
  <c r="AO191" i="2"/>
  <c r="P167" i="2"/>
  <c r="AO185" i="2"/>
  <c r="P170" i="2"/>
  <c r="P168" i="2"/>
  <c r="AO181" i="2"/>
  <c r="J206" i="2"/>
  <c r="B196" i="2"/>
  <c r="Q167" i="2"/>
  <c r="A168" i="2"/>
  <c r="Q183" i="2"/>
  <c r="M111" i="13"/>
  <c r="M109" i="13"/>
  <c r="Q186" i="2"/>
  <c r="Q187" i="2"/>
  <c r="A188" i="2"/>
  <c r="AO196" i="2"/>
  <c r="AC190" i="2"/>
  <c r="AD124" i="2"/>
  <c r="V124" i="2"/>
  <c r="AA124" i="2"/>
  <c r="T124" i="2"/>
  <c r="Q124" i="2"/>
  <c r="AD123" i="2"/>
  <c r="V123" i="2"/>
  <c r="AA123" i="2"/>
  <c r="T123" i="2"/>
  <c r="Q123" i="2"/>
  <c r="AD122" i="2"/>
  <c r="V122" i="2"/>
  <c r="AA122" i="2"/>
  <c r="T122" i="2"/>
  <c r="Z122" i="2"/>
  <c r="Q122" i="2"/>
  <c r="AD121" i="2"/>
  <c r="V121" i="2"/>
  <c r="T121" i="2"/>
  <c r="Z121" i="2"/>
  <c r="Q121" i="2"/>
  <c r="AD120" i="2"/>
  <c r="V120" i="2"/>
  <c r="T120" i="2"/>
  <c r="Z120" i="2"/>
  <c r="Q120" i="2"/>
  <c r="AD114" i="2"/>
  <c r="V114" i="2"/>
  <c r="T114" i="2"/>
  <c r="Q114" i="2"/>
  <c r="I218" i="9"/>
  <c r="AD113" i="2"/>
  <c r="AA113" i="2"/>
  <c r="V113" i="2"/>
  <c r="T113" i="2"/>
  <c r="Q113" i="2"/>
  <c r="I214" i="9"/>
  <c r="AD112" i="2"/>
  <c r="AA112" i="2"/>
  <c r="Z112" i="2"/>
  <c r="V112" i="2"/>
  <c r="T112" i="2"/>
  <c r="X112" i="2"/>
  <c r="Q112" i="2"/>
  <c r="I210" i="9"/>
  <c r="AO193" i="2"/>
  <c r="A180" i="2"/>
  <c r="A202" i="2"/>
  <c r="AO187" i="2"/>
  <c r="A179" i="2"/>
  <c r="AO194" i="2"/>
  <c r="A167" i="2"/>
  <c r="F222" i="13"/>
  <c r="X113" i="2"/>
  <c r="Z113" i="2"/>
  <c r="X114" i="2"/>
  <c r="AO183" i="2"/>
  <c r="AO195" i="2"/>
  <c r="C108" i="10"/>
  <c r="E108" i="10"/>
  <c r="X124" i="2"/>
  <c r="C109" i="10"/>
  <c r="C110" i="10"/>
  <c r="C111" i="10"/>
  <c r="C112" i="10"/>
  <c r="W114" i="2"/>
  <c r="W113" i="2"/>
  <c r="W112" i="2"/>
  <c r="Z119" i="2"/>
  <c r="X123" i="2"/>
  <c r="Z123" i="2"/>
  <c r="AO192" i="2"/>
  <c r="W122" i="2"/>
  <c r="W123" i="2"/>
  <c r="AC187" i="2"/>
  <c r="M234" i="13"/>
  <c r="M230" i="13"/>
  <c r="W121" i="2"/>
  <c r="AA121" i="2"/>
  <c r="X120" i="2"/>
  <c r="X121" i="2"/>
  <c r="X122" i="2"/>
  <c r="W124" i="2"/>
  <c r="Z124" i="2"/>
  <c r="W120" i="2"/>
  <c r="AA120" i="2"/>
  <c r="AD111" i="2"/>
  <c r="AA111" i="2"/>
  <c r="Z111" i="2"/>
  <c r="V111" i="2"/>
  <c r="T111" i="2"/>
  <c r="X111" i="2"/>
  <c r="Q111" i="2"/>
  <c r="I206" i="9"/>
  <c r="AD110" i="2"/>
  <c r="AA110" i="2"/>
  <c r="V110" i="2"/>
  <c r="AA109" i="2"/>
  <c r="T110" i="2"/>
  <c r="Q110" i="2"/>
  <c r="I202" i="9"/>
  <c r="AD109" i="2"/>
  <c r="U109" i="2"/>
  <c r="X109" i="2"/>
  <c r="T109" i="2"/>
  <c r="Q109" i="2"/>
  <c r="AD108" i="2"/>
  <c r="V108" i="2"/>
  <c r="T108" i="2"/>
  <c r="X108" i="2"/>
  <c r="Q108" i="2"/>
  <c r="I196" i="9"/>
  <c r="AD107" i="2"/>
  <c r="V107" i="2"/>
  <c r="T107" i="2"/>
  <c r="Z107" i="2"/>
  <c r="Q107" i="2"/>
  <c r="AB99" i="2"/>
  <c r="AD97" i="2"/>
  <c r="V97" i="2"/>
  <c r="U97" i="2"/>
  <c r="T97" i="2"/>
  <c r="X97" i="2"/>
  <c r="J221" i="13"/>
  <c r="Z108" i="2"/>
  <c r="Z109" i="2"/>
  <c r="X110" i="2"/>
  <c r="Z110" i="2"/>
  <c r="C100" i="10"/>
  <c r="C101" i="10"/>
  <c r="C102" i="10"/>
  <c r="C103" i="10"/>
  <c r="C104" i="10"/>
  <c r="C105" i="10"/>
  <c r="C106" i="10"/>
  <c r="C107" i="10"/>
  <c r="E100" i="10"/>
  <c r="A169" i="2"/>
  <c r="B169" i="2"/>
  <c r="E109" i="10"/>
  <c r="E110" i="10"/>
  <c r="E111" i="10"/>
  <c r="E112" i="10"/>
  <c r="AA108" i="2"/>
  <c r="AA107" i="2"/>
  <c r="Y119" i="2"/>
  <c r="Y122" i="2"/>
  <c r="A154" i="2"/>
  <c r="A155" i="2"/>
  <c r="A183" i="2"/>
  <c r="X107" i="2"/>
  <c r="W97" i="2"/>
  <c r="W107" i="2"/>
  <c r="Z106" i="2"/>
  <c r="W111" i="2"/>
  <c r="W110" i="2"/>
  <c r="W108" i="2"/>
  <c r="AD96" i="2"/>
  <c r="V96" i="2"/>
  <c r="U96" i="2"/>
  <c r="T96" i="2"/>
  <c r="Z96" i="2"/>
  <c r="AD95" i="2"/>
  <c r="I161" i="9"/>
  <c r="V95" i="2"/>
  <c r="T95" i="2"/>
  <c r="Z95" i="2"/>
  <c r="AD94" i="2"/>
  <c r="I157" i="9"/>
  <c r="V94" i="2"/>
  <c r="T94" i="2"/>
  <c r="Z93" i="2"/>
  <c r="E101" i="10"/>
  <c r="E102" i="10"/>
  <c r="E103" i="10"/>
  <c r="E104" i="10"/>
  <c r="E105" i="10"/>
  <c r="E106" i="10"/>
  <c r="E107" i="10"/>
  <c r="J202" i="2"/>
  <c r="J204" i="2"/>
  <c r="B181" i="2"/>
  <c r="A170" i="2"/>
  <c r="AA119" i="2"/>
  <c r="Y120" i="2"/>
  <c r="AA96" i="2"/>
  <c r="I165" i="9"/>
  <c r="C98" i="10"/>
  <c r="C99" i="10"/>
  <c r="X94" i="2"/>
  <c r="X96" i="2"/>
  <c r="W94" i="2"/>
  <c r="W95" i="2"/>
  <c r="J200" i="2"/>
  <c r="B154" i="2"/>
  <c r="Z94" i="2"/>
  <c r="AA94" i="2"/>
  <c r="X95" i="2"/>
  <c r="W96" i="2"/>
  <c r="Y106" i="2"/>
  <c r="Y107" i="2"/>
  <c r="AA95" i="2"/>
  <c r="X93" i="2"/>
  <c r="AN91" i="2"/>
  <c r="L91" i="2"/>
  <c r="K91" i="2"/>
  <c r="J91" i="2"/>
  <c r="P91" i="2"/>
  <c r="H91" i="2"/>
  <c r="AN90" i="2"/>
  <c r="AD90" i="2"/>
  <c r="V90" i="2"/>
  <c r="T90" i="2"/>
  <c r="L90" i="2"/>
  <c r="K90" i="2"/>
  <c r="J90" i="2"/>
  <c r="P90" i="2"/>
  <c r="H90" i="2"/>
  <c r="AN89" i="2"/>
  <c r="AD89" i="2"/>
  <c r="V89" i="2"/>
  <c r="T89" i="2"/>
  <c r="L89" i="2"/>
  <c r="K89" i="2"/>
  <c r="J89" i="2"/>
  <c r="H89" i="2"/>
  <c r="AN88" i="2"/>
  <c r="AD88" i="2"/>
  <c r="AB88" i="2"/>
  <c r="V88" i="2"/>
  <c r="T88" i="2"/>
  <c r="W88" i="2"/>
  <c r="L88" i="2"/>
  <c r="K88" i="2"/>
  <c r="J88" i="2"/>
  <c r="H88" i="2"/>
  <c r="AD86" i="2"/>
  <c r="I133" i="9"/>
  <c r="V86" i="2"/>
  <c r="AA86" i="2"/>
  <c r="T86" i="2"/>
  <c r="Z86" i="2"/>
  <c r="AN85" i="2"/>
  <c r="AD85" i="2"/>
  <c r="V85" i="2"/>
  <c r="X85" i="2"/>
  <c r="T85" i="2"/>
  <c r="L85" i="2"/>
  <c r="K85" i="2"/>
  <c r="J85" i="2"/>
  <c r="H85" i="2"/>
  <c r="AN84" i="2"/>
  <c r="AD84" i="2"/>
  <c r="V84" i="2"/>
  <c r="X84" i="2"/>
  <c r="T84" i="2"/>
  <c r="L84" i="2"/>
  <c r="K84" i="2"/>
  <c r="J84" i="2"/>
  <c r="H84" i="2"/>
  <c r="L105" i="2"/>
  <c r="P89" i="2"/>
  <c r="AO89" i="2"/>
  <c r="J487" i="9"/>
  <c r="J503" i="9"/>
  <c r="P88" i="2"/>
  <c r="J435" i="9"/>
  <c r="E435" i="9"/>
  <c r="J419" i="9"/>
  <c r="E419" i="9"/>
  <c r="J471" i="9"/>
  <c r="P85" i="2"/>
  <c r="AO85" i="2"/>
  <c r="Y109" i="2"/>
  <c r="W109" i="2"/>
  <c r="AA106" i="2"/>
  <c r="Y93" i="2"/>
  <c r="Y94" i="2"/>
  <c r="E98" i="10"/>
  <c r="E99" i="10"/>
  <c r="X86" i="2"/>
  <c r="P84" i="2"/>
  <c r="W84" i="2"/>
  <c r="X88" i="2"/>
  <c r="AO90" i="2"/>
  <c r="W90" i="2"/>
  <c r="X98" i="2"/>
  <c r="AO91" i="2"/>
  <c r="W85" i="2"/>
  <c r="W86" i="2"/>
  <c r="Z87" i="2"/>
  <c r="X89" i="2"/>
  <c r="X90" i="2"/>
  <c r="W89" i="2"/>
  <c r="Y87" i="2"/>
  <c r="A89" i="2"/>
  <c r="AO88" i="2"/>
  <c r="Y96" i="2"/>
  <c r="AA87" i="2"/>
  <c r="Y88" i="2"/>
  <c r="Y91" i="2"/>
  <c r="AB87" i="2"/>
  <c r="AN83" i="2"/>
  <c r="AD83" i="2"/>
  <c r="V83" i="2"/>
  <c r="X83" i="2"/>
  <c r="T83" i="2"/>
  <c r="L83" i="2"/>
  <c r="K83" i="2"/>
  <c r="J83" i="2"/>
  <c r="H83" i="2"/>
  <c r="J403" i="9"/>
  <c r="E403" i="9"/>
  <c r="P83" i="2"/>
  <c r="W83" i="2"/>
  <c r="AN82" i="2"/>
  <c r="AD82" i="2"/>
  <c r="I123" i="9"/>
  <c r="V82" i="2"/>
  <c r="U82" i="2"/>
  <c r="T82" i="2"/>
  <c r="W82" i="2"/>
  <c r="Z82" i="2"/>
  <c r="L82" i="2"/>
  <c r="K82" i="2"/>
  <c r="J82" i="2"/>
  <c r="H82" i="2"/>
  <c r="AN81" i="2"/>
  <c r="AD81" i="2"/>
  <c r="I119" i="9"/>
  <c r="V81" i="2"/>
  <c r="X81" i="2"/>
  <c r="T81" i="2"/>
  <c r="Z81" i="2"/>
  <c r="L81" i="2"/>
  <c r="K81" i="2"/>
  <c r="J81" i="2"/>
  <c r="H81" i="2"/>
  <c r="AD80" i="2"/>
  <c r="V80" i="2"/>
  <c r="T80" i="2"/>
  <c r="AN78" i="2"/>
  <c r="AD78" i="2"/>
  <c r="V78" i="2"/>
  <c r="X78" i="2"/>
  <c r="T78" i="2"/>
  <c r="Z78" i="2"/>
  <c r="L78" i="2"/>
  <c r="K78" i="2"/>
  <c r="J78" i="2"/>
  <c r="I78" i="2"/>
  <c r="Q78" i="2"/>
  <c r="H78" i="2"/>
  <c r="AN77" i="2"/>
  <c r="AD77" i="2"/>
  <c r="V77" i="2"/>
  <c r="AA77" i="2"/>
  <c r="T77" i="2"/>
  <c r="Z77" i="2"/>
  <c r="Q77" i="2"/>
  <c r="J387" i="9"/>
  <c r="J371" i="9"/>
  <c r="E371" i="9"/>
  <c r="P81" i="2"/>
  <c r="P78" i="2"/>
  <c r="Z79" i="2"/>
  <c r="E89" i="10"/>
  <c r="E90" i="10"/>
  <c r="E91" i="10"/>
  <c r="E92" i="10"/>
  <c r="E93" i="10"/>
  <c r="E94" i="10"/>
  <c r="C89" i="10"/>
  <c r="C90" i="10"/>
  <c r="C91" i="10"/>
  <c r="C92" i="10"/>
  <c r="C93" i="10"/>
  <c r="C94" i="10"/>
  <c r="X77" i="2"/>
  <c r="AA78" i="2"/>
  <c r="L104" i="2"/>
  <c r="A84" i="2"/>
  <c r="I104" i="2"/>
  <c r="AO81" i="2"/>
  <c r="P82" i="2"/>
  <c r="A82" i="2"/>
  <c r="W77" i="2"/>
  <c r="W78" i="2"/>
  <c r="X80" i="2"/>
  <c r="W81" i="2"/>
  <c r="X82" i="2"/>
  <c r="W80" i="2"/>
  <c r="Y79" i="2"/>
  <c r="L77" i="2"/>
  <c r="K77" i="2"/>
  <c r="J77" i="2"/>
  <c r="H77" i="2"/>
  <c r="AN76" i="2"/>
  <c r="AD76" i="2"/>
  <c r="V76" i="2"/>
  <c r="X76" i="2"/>
  <c r="T76" i="2"/>
  <c r="Q76" i="2"/>
  <c r="N76" i="2"/>
  <c r="M76" i="2"/>
  <c r="L76" i="2"/>
  <c r="K76" i="2"/>
  <c r="J76" i="2"/>
  <c r="H76" i="2"/>
  <c r="J315" i="9"/>
  <c r="J333" i="9"/>
  <c r="E333" i="9"/>
  <c r="AO82" i="2"/>
  <c r="P77" i="2"/>
  <c r="AO77" i="2"/>
  <c r="P76" i="2"/>
  <c r="AO78" i="2"/>
  <c r="Y82" i="2"/>
  <c r="Y80" i="2"/>
  <c r="AO83" i="2"/>
  <c r="A85" i="2"/>
  <c r="AO84" i="2"/>
  <c r="B84" i="2"/>
  <c r="W76" i="2"/>
  <c r="AN75" i="2"/>
  <c r="AD75" i="2"/>
  <c r="V75" i="2"/>
  <c r="AA75" i="2"/>
  <c r="T75" i="2"/>
  <c r="Z75" i="2"/>
  <c r="Q75" i="2"/>
  <c r="N75" i="2"/>
  <c r="M75" i="2"/>
  <c r="L75" i="2"/>
  <c r="K75" i="2"/>
  <c r="J75" i="2"/>
  <c r="H75" i="2"/>
  <c r="AN74" i="2"/>
  <c r="AD74" i="2"/>
  <c r="V74" i="2"/>
  <c r="X74" i="2"/>
  <c r="T74" i="2"/>
  <c r="Q74" i="2"/>
  <c r="L74" i="2"/>
  <c r="K74" i="2"/>
  <c r="J74" i="2"/>
  <c r="H74" i="2"/>
  <c r="AN73" i="2"/>
  <c r="AD73" i="2"/>
  <c r="V73" i="2"/>
  <c r="T73" i="2"/>
  <c r="Q73" i="2"/>
  <c r="J299" i="9"/>
  <c r="P75" i="2"/>
  <c r="J285" i="9"/>
  <c r="E285" i="9"/>
  <c r="P74" i="2"/>
  <c r="W74" i="2"/>
  <c r="AO74" i="2"/>
  <c r="W75" i="2"/>
  <c r="X73" i="2"/>
  <c r="X75" i="2"/>
  <c r="W73" i="2"/>
  <c r="N73" i="2"/>
  <c r="M73" i="2"/>
  <c r="J267" i="9"/>
  <c r="L73" i="2"/>
  <c r="K73" i="2"/>
  <c r="J73" i="2"/>
  <c r="H73" i="2"/>
  <c r="L103" i="2"/>
  <c r="AD72" i="2"/>
  <c r="V72" i="2"/>
  <c r="T72" i="2"/>
  <c r="AN70" i="2"/>
  <c r="AD70" i="2"/>
  <c r="V70" i="2"/>
  <c r="T70" i="2"/>
  <c r="P70" i="2"/>
  <c r="AN69" i="2"/>
  <c r="AD69" i="2"/>
  <c r="V69" i="2"/>
  <c r="T69" i="2"/>
  <c r="P69" i="2"/>
  <c r="G69" i="2"/>
  <c r="AN68" i="2"/>
  <c r="AD68" i="2"/>
  <c r="V68" i="2"/>
  <c r="X68" i="2"/>
  <c r="T68" i="2"/>
  <c r="G68" i="2"/>
  <c r="AN67" i="2"/>
  <c r="AD67" i="2"/>
  <c r="V67" i="2"/>
  <c r="X67" i="2"/>
  <c r="T67" i="2"/>
  <c r="P67" i="2"/>
  <c r="G67" i="2"/>
  <c r="AN66" i="2"/>
  <c r="AD66" i="2"/>
  <c r="X66" i="2"/>
  <c r="T66" i="2"/>
  <c r="P66" i="2"/>
  <c r="G66" i="2"/>
  <c r="AN65" i="2"/>
  <c r="AD65" i="2"/>
  <c r="AB65" i="2"/>
  <c r="T65" i="2"/>
  <c r="AN64" i="2"/>
  <c r="AO63" i="2"/>
  <c r="AN63" i="2"/>
  <c r="T61" i="2"/>
  <c r="J269" i="9"/>
  <c r="E269" i="9"/>
  <c r="P73" i="2"/>
  <c r="W68" i="2"/>
  <c r="C76" i="10"/>
  <c r="C77" i="10"/>
  <c r="C78" i="10"/>
  <c r="C79" i="10"/>
  <c r="C80" i="10"/>
  <c r="C81" i="10"/>
  <c r="H68" i="2"/>
  <c r="X72" i="2"/>
  <c r="E82" i="10"/>
  <c r="E83" i="10"/>
  <c r="E84" i="10"/>
  <c r="E85" i="10"/>
  <c r="E86" i="10"/>
  <c r="C82" i="10"/>
  <c r="C83" i="10"/>
  <c r="C84" i="10"/>
  <c r="C85" i="10"/>
  <c r="C86" i="10"/>
  <c r="C87" i="10"/>
  <c r="C88" i="10"/>
  <c r="W66" i="2"/>
  <c r="W67" i="2"/>
  <c r="W69" i="2"/>
  <c r="W70" i="2"/>
  <c r="Z64" i="2"/>
  <c r="W65" i="2"/>
  <c r="H66" i="2"/>
  <c r="H67" i="2"/>
  <c r="X69" i="2"/>
  <c r="X70" i="2"/>
  <c r="Z71" i="2"/>
  <c r="W72" i="2"/>
  <c r="Y71" i="2"/>
  <c r="X65" i="2"/>
  <c r="H69" i="2"/>
  <c r="AO69" i="2"/>
  <c r="AN43" i="2"/>
  <c r="R43" i="2"/>
  <c r="L43" i="2"/>
  <c r="K43" i="2"/>
  <c r="J43" i="2"/>
  <c r="H43" i="2"/>
  <c r="J712" i="6"/>
  <c r="F712" i="6"/>
  <c r="AO73" i="2"/>
  <c r="E87" i="10"/>
  <c r="E88" i="10"/>
  <c r="Y64" i="2"/>
  <c r="Y68" i="2"/>
  <c r="E76" i="10"/>
  <c r="E77" i="10"/>
  <c r="E78" i="10"/>
  <c r="E79" i="10"/>
  <c r="E80" i="10"/>
  <c r="E81" i="10"/>
  <c r="P43" i="2"/>
  <c r="AO70" i="2"/>
  <c r="Y74" i="2"/>
  <c r="Y72" i="2"/>
  <c r="AA71" i="2"/>
  <c r="G65" i="2"/>
  <c r="P65" i="2"/>
  <c r="AN42" i="2"/>
  <c r="R42" i="2"/>
  <c r="L42" i="2"/>
  <c r="K42" i="2"/>
  <c r="J42" i="2"/>
  <c r="H42" i="2"/>
  <c r="AN41" i="2"/>
  <c r="R41" i="2"/>
  <c r="L41" i="2"/>
  <c r="K41" i="2"/>
  <c r="J41" i="2"/>
  <c r="H41" i="2"/>
  <c r="AN40" i="2"/>
  <c r="R40" i="2"/>
  <c r="L40" i="2"/>
  <c r="K40" i="2"/>
  <c r="J40" i="2"/>
  <c r="H40" i="2"/>
  <c r="AN35" i="2"/>
  <c r="R35" i="2"/>
  <c r="L35" i="2"/>
  <c r="K35" i="2"/>
  <c r="J35" i="2"/>
  <c r="H35" i="2"/>
  <c r="AN34" i="2"/>
  <c r="J680" i="6"/>
  <c r="F680" i="6"/>
  <c r="J662" i="6"/>
  <c r="F662" i="6"/>
  <c r="P40" i="2"/>
  <c r="AA64" i="2"/>
  <c r="X8" i="2"/>
  <c r="P42" i="2"/>
  <c r="AB64" i="2"/>
  <c r="Y66" i="2"/>
  <c r="P64" i="2"/>
  <c r="AO64" i="2"/>
  <c r="P35" i="2"/>
  <c r="P41" i="2"/>
  <c r="AO41" i="2"/>
  <c r="AO35" i="2"/>
  <c r="H65" i="2"/>
  <c r="AO65" i="2"/>
  <c r="R45" i="2"/>
  <c r="R34" i="2"/>
  <c r="R39" i="2"/>
  <c r="N37" i="2"/>
  <c r="L34" i="2"/>
  <c r="K34" i="2"/>
  <c r="J34" i="2"/>
  <c r="H34" i="2"/>
  <c r="AN32" i="2"/>
  <c r="R32" i="2"/>
  <c r="L32" i="2"/>
  <c r="K32" i="2"/>
  <c r="J32" i="2"/>
  <c r="I32" i="2"/>
  <c r="Q32" i="2"/>
  <c r="I28" i="2"/>
  <c r="Q28" i="2"/>
  <c r="I29" i="2"/>
  <c r="Q29" i="2"/>
  <c r="Q30" i="2"/>
  <c r="Q31" i="2"/>
  <c r="A30" i="2"/>
  <c r="H32" i="2"/>
  <c r="AN31" i="2"/>
  <c r="R31" i="2"/>
  <c r="L31" i="2"/>
  <c r="K31" i="2"/>
  <c r="J31" i="2"/>
  <c r="H31" i="2"/>
  <c r="AN30" i="2"/>
  <c r="R30" i="2"/>
  <c r="L30" i="2"/>
  <c r="K30" i="2"/>
  <c r="J30" i="2"/>
  <c r="H30" i="2"/>
  <c r="AN29" i="2"/>
  <c r="R29" i="2"/>
  <c r="L29" i="2"/>
  <c r="K29" i="2"/>
  <c r="J29" i="2"/>
  <c r="H29" i="2"/>
  <c r="AN28" i="2"/>
  <c r="R28" i="2"/>
  <c r="R33" i="2"/>
  <c r="L28" i="2"/>
  <c r="K28" i="2"/>
  <c r="J28" i="2"/>
  <c r="P28" i="2"/>
  <c r="H28" i="2"/>
  <c r="AN26" i="2"/>
  <c r="R26" i="2"/>
  <c r="L26" i="2"/>
  <c r="K26" i="2"/>
  <c r="J26" i="2"/>
  <c r="I26" i="2"/>
  <c r="Q26" i="2"/>
  <c r="H26" i="2"/>
  <c r="AN25" i="2"/>
  <c r="R25" i="2"/>
  <c r="L25" i="2"/>
  <c r="K25" i="2"/>
  <c r="J25" i="2"/>
  <c r="P25" i="2"/>
  <c r="I25" i="2"/>
  <c r="Q25" i="2"/>
  <c r="H25" i="2"/>
  <c r="B25" i="2"/>
  <c r="AN24" i="2"/>
  <c r="R24" i="2"/>
  <c r="L24" i="2"/>
  <c r="K24" i="2"/>
  <c r="J24" i="2"/>
  <c r="P24" i="2"/>
  <c r="I24" i="2"/>
  <c r="Q24" i="2"/>
  <c r="H24" i="2"/>
  <c r="AN23" i="2"/>
  <c r="R23" i="2"/>
  <c r="L23" i="2"/>
  <c r="K23" i="2"/>
  <c r="J23" i="2"/>
  <c r="I23" i="2"/>
  <c r="Q23" i="2"/>
  <c r="H23" i="2"/>
  <c r="AN22" i="2"/>
  <c r="R22" i="2"/>
  <c r="L22" i="2"/>
  <c r="K22" i="2"/>
  <c r="J22" i="2"/>
  <c r="I22" i="2"/>
  <c r="Q22" i="2"/>
  <c r="H22" i="2"/>
  <c r="AN21" i="2"/>
  <c r="R21" i="2"/>
  <c r="L21" i="2"/>
  <c r="K21" i="2"/>
  <c r="J21" i="2"/>
  <c r="I21" i="2"/>
  <c r="Q21" i="2"/>
  <c r="H21" i="2"/>
  <c r="AN20" i="2"/>
  <c r="R20" i="2"/>
  <c r="L20" i="2"/>
  <c r="K20" i="2"/>
  <c r="J20" i="2"/>
  <c r="P20" i="2"/>
  <c r="I20" i="2"/>
  <c r="Q20" i="2"/>
  <c r="H20" i="2"/>
  <c r="AN19" i="2"/>
  <c r="R19" i="2"/>
  <c r="L19" i="2"/>
  <c r="K19" i="2"/>
  <c r="J19" i="2"/>
  <c r="I19" i="2"/>
  <c r="Q19" i="2"/>
  <c r="H19" i="2"/>
  <c r="AN18" i="2"/>
  <c r="R18" i="2"/>
  <c r="L18" i="2"/>
  <c r="K18" i="2"/>
  <c r="J18" i="2"/>
  <c r="I18" i="2"/>
  <c r="Q18" i="2"/>
  <c r="H18" i="2"/>
  <c r="AN17" i="2"/>
  <c r="R17" i="2"/>
  <c r="L17" i="2"/>
  <c r="K17" i="2"/>
  <c r="J17" i="2"/>
  <c r="I17" i="2"/>
  <c r="Q17" i="2"/>
  <c r="H17" i="2"/>
  <c r="AN16" i="2"/>
  <c r="R16" i="2"/>
  <c r="L16" i="2"/>
  <c r="K16" i="2"/>
  <c r="J16" i="2"/>
  <c r="I16" i="2"/>
  <c r="Q16" i="2"/>
  <c r="H16" i="2"/>
  <c r="AN15" i="2"/>
  <c r="R15" i="2"/>
  <c r="R27" i="2"/>
  <c r="L15" i="2"/>
  <c r="K15" i="2"/>
  <c r="J15" i="2"/>
  <c r="I15" i="2"/>
  <c r="Q15" i="2"/>
  <c r="H15" i="2"/>
  <c r="AN13" i="2"/>
  <c r="R13" i="2"/>
  <c r="L13" i="2"/>
  <c r="K13" i="2"/>
  <c r="J13" i="2"/>
  <c r="I13" i="2"/>
  <c r="Q13" i="2"/>
  <c r="H13" i="2"/>
  <c r="AN12" i="2"/>
  <c r="R12" i="2"/>
  <c r="L12" i="2"/>
  <c r="K12" i="2"/>
  <c r="J12" i="2"/>
  <c r="I12" i="2"/>
  <c r="Q12" i="2"/>
  <c r="H12" i="2"/>
  <c r="AN11" i="2"/>
  <c r="R11" i="2"/>
  <c r="L11" i="2"/>
  <c r="K11" i="2"/>
  <c r="J11" i="2"/>
  <c r="I11" i="2"/>
  <c r="Q11" i="2"/>
  <c r="H11" i="2"/>
  <c r="AN10" i="2"/>
  <c r="R10" i="2"/>
  <c r="L10" i="2"/>
  <c r="K10" i="2"/>
  <c r="J10" i="2"/>
  <c r="I10" i="2"/>
  <c r="Q10" i="2"/>
  <c r="Q4" i="2"/>
  <c r="Q5" i="2"/>
  <c r="Q6" i="2"/>
  <c r="Q7" i="2"/>
  <c r="Q8" i="2"/>
  <c r="I9" i="2"/>
  <c r="Q9" i="2"/>
  <c r="A6" i="2"/>
  <c r="H10" i="2"/>
  <c r="AN9" i="2"/>
  <c r="R9" i="2"/>
  <c r="L9" i="2"/>
  <c r="K9" i="2"/>
  <c r="J9" i="2"/>
  <c r="P9" i="2"/>
  <c r="H9" i="2"/>
  <c r="AN8" i="2"/>
  <c r="R8" i="2"/>
  <c r="L8" i="2"/>
  <c r="K8" i="2"/>
  <c r="J8" i="2"/>
  <c r="H8" i="2"/>
  <c r="J585" i="6"/>
  <c r="F585" i="6"/>
  <c r="P34" i="2"/>
  <c r="M37" i="2"/>
  <c r="A35" i="2"/>
  <c r="P31" i="2"/>
  <c r="T31" i="2"/>
  <c r="P22" i="2"/>
  <c r="P13" i="2"/>
  <c r="J207" i="6"/>
  <c r="F207" i="6"/>
  <c r="J171" i="6"/>
  <c r="P11" i="2"/>
  <c r="AO11" i="2"/>
  <c r="J153" i="6"/>
  <c r="F153" i="6"/>
  <c r="A41" i="2"/>
  <c r="A17" i="2"/>
  <c r="A43" i="2"/>
  <c r="P8" i="2"/>
  <c r="P10" i="2"/>
  <c r="P12" i="2"/>
  <c r="AO12" i="2"/>
  <c r="P21" i="2"/>
  <c r="AO21" i="2"/>
  <c r="P23" i="2"/>
  <c r="P26" i="2"/>
  <c r="P29" i="2"/>
  <c r="P30" i="2"/>
  <c r="P32" i="2"/>
  <c r="AO32" i="2"/>
  <c r="P15" i="2"/>
  <c r="P16" i="2"/>
  <c r="P17" i="2"/>
  <c r="AO17" i="2"/>
  <c r="P18" i="2"/>
  <c r="P19" i="2"/>
  <c r="AO19" i="2"/>
  <c r="AO22" i="2"/>
  <c r="AO9" i="2"/>
  <c r="AO40" i="2"/>
  <c r="AO28" i="2"/>
  <c r="AO20" i="2"/>
  <c r="AO10" i="2"/>
  <c r="AO16" i="2"/>
  <c r="AO15" i="2"/>
  <c r="AO8" i="2"/>
  <c r="AO13" i="2"/>
  <c r="AO26" i="2"/>
  <c r="AO25" i="2"/>
  <c r="AO29" i="2"/>
  <c r="AO31" i="2"/>
  <c r="AO42" i="2"/>
  <c r="AO24" i="2"/>
  <c r="AO34" i="2"/>
  <c r="AO23" i="2"/>
  <c r="AN7" i="2"/>
  <c r="X7" i="2"/>
  <c r="R7" i="2"/>
  <c r="L7" i="2"/>
  <c r="K7" i="2"/>
  <c r="J7" i="2"/>
  <c r="H7" i="2"/>
  <c r="AN6" i="2"/>
  <c r="X6" i="2"/>
  <c r="R6" i="2"/>
  <c r="L6" i="2"/>
  <c r="K6" i="2"/>
  <c r="J6" i="2"/>
  <c r="H6" i="2"/>
  <c r="AN5" i="2"/>
  <c r="X5" i="2"/>
  <c r="R5" i="2"/>
  <c r="L5" i="2"/>
  <c r="K5" i="2"/>
  <c r="J5" i="2"/>
  <c r="H5" i="2"/>
  <c r="AN4" i="2"/>
  <c r="A29" i="2"/>
  <c r="J137" i="6"/>
  <c r="J119" i="6"/>
  <c r="F119" i="6"/>
  <c r="J101" i="6"/>
  <c r="F101" i="6"/>
  <c r="A16" i="2"/>
  <c r="P5" i="2"/>
  <c r="AO5" i="2"/>
  <c r="P6" i="2"/>
  <c r="AO6" i="2"/>
  <c r="P7" i="2"/>
  <c r="A37" i="2"/>
  <c r="A38" i="2"/>
  <c r="A31" i="2"/>
  <c r="A18" i="2"/>
  <c r="AO30" i="2"/>
  <c r="AO7" i="2"/>
  <c r="R4" i="2"/>
  <c r="R14" i="2"/>
  <c r="R46" i="2"/>
  <c r="L4" i="2"/>
  <c r="K4" i="2"/>
  <c r="J4" i="2"/>
  <c r="H4" i="2"/>
  <c r="X4" i="2"/>
  <c r="H475" i="13"/>
  <c r="M209" i="13"/>
  <c r="B83" i="7"/>
  <c r="C83" i="7"/>
  <c r="B82" i="7"/>
  <c r="C82" i="7"/>
  <c r="M201" i="13"/>
  <c r="B81" i="7"/>
  <c r="C81" i="7"/>
  <c r="B80" i="7"/>
  <c r="C80" i="7"/>
  <c r="M193" i="13"/>
  <c r="B79" i="7"/>
  <c r="C79" i="7"/>
  <c r="M189" i="13"/>
  <c r="B78" i="7"/>
  <c r="C78" i="7"/>
  <c r="M185" i="13"/>
  <c r="B77" i="7"/>
  <c r="C77" i="7"/>
  <c r="M177" i="13"/>
  <c r="B76" i="7"/>
  <c r="M159" i="13"/>
  <c r="B74" i="7"/>
  <c r="C74" i="7"/>
  <c r="M155" i="13"/>
  <c r="B73" i="7"/>
  <c r="C73" i="7"/>
  <c r="M151" i="13"/>
  <c r="B72" i="7"/>
  <c r="C72" i="7"/>
  <c r="M147" i="13"/>
  <c r="B71" i="7"/>
  <c r="C71" i="7"/>
  <c r="B68" i="7"/>
  <c r="J85" i="6"/>
  <c r="F85" i="6"/>
  <c r="B67" i="7"/>
  <c r="P4" i="2"/>
  <c r="A5" i="2"/>
  <c r="A52" i="2"/>
  <c r="J256" i="13"/>
  <c r="B85" i="7"/>
  <c r="Y7" i="2"/>
  <c r="A44" i="2"/>
  <c r="AO43" i="2"/>
  <c r="Y8" i="2"/>
  <c r="Y6" i="2"/>
  <c r="A32" i="2"/>
  <c r="A19" i="2"/>
  <c r="AO18" i="2"/>
  <c r="Y5" i="2"/>
  <c r="A53" i="2"/>
  <c r="A9" i="2"/>
  <c r="J326" i="13"/>
  <c r="B89" i="7"/>
  <c r="C89" i="7"/>
  <c r="F326" i="13"/>
  <c r="A7" i="2"/>
  <c r="Y4" i="2"/>
  <c r="AO4" i="2"/>
  <c r="AO45" i="2"/>
  <c r="J342" i="13"/>
  <c r="B90" i="7"/>
  <c r="C90" i="7"/>
  <c r="F256" i="13"/>
  <c r="A8" i="2"/>
  <c r="M499" i="13"/>
  <c r="B96" i="7"/>
  <c r="C96" i="7"/>
  <c r="H499" i="13"/>
  <c r="F342" i="13"/>
  <c r="J756" i="13"/>
  <c r="B112" i="7"/>
  <c r="C112" i="7"/>
  <c r="J740" i="13"/>
  <c r="B111" i="7"/>
  <c r="C111" i="7"/>
  <c r="B110" i="7"/>
  <c r="C110" i="7"/>
  <c r="J702" i="13"/>
  <c r="B109" i="7"/>
  <c r="C109" i="7"/>
  <c r="J686" i="13"/>
  <c r="B108" i="7"/>
  <c r="C108" i="7"/>
  <c r="J669" i="13"/>
  <c r="B107" i="7"/>
  <c r="C107" i="7"/>
  <c r="J651" i="13"/>
  <c r="B106" i="7"/>
  <c r="C106" i="7"/>
  <c r="B105" i="7"/>
  <c r="C105" i="7"/>
  <c r="J629" i="13"/>
  <c r="B104" i="7"/>
  <c r="C104" i="7"/>
  <c r="J403" i="13"/>
  <c r="B103" i="7"/>
  <c r="C103" i="7"/>
  <c r="B102" i="7"/>
  <c r="C102" i="7"/>
  <c r="J590" i="13"/>
  <c r="B101" i="7"/>
  <c r="C101" i="7"/>
  <c r="B100" i="7"/>
  <c r="C100" i="7"/>
  <c r="B99" i="7"/>
  <c r="C99" i="7"/>
  <c r="B98" i="7"/>
  <c r="C98" i="7"/>
  <c r="F403" i="13"/>
  <c r="F651" i="13"/>
  <c r="F669" i="13"/>
  <c r="F686" i="13"/>
  <c r="F702" i="13"/>
  <c r="F756" i="13"/>
  <c r="F590" i="13"/>
  <c r="F629" i="13"/>
  <c r="F740" i="13"/>
  <c r="A55" i="2"/>
  <c r="A54" i="2"/>
  <c r="A58" i="2"/>
  <c r="M475" i="13"/>
  <c r="B95" i="7"/>
  <c r="C95" i="7"/>
  <c r="V517" i="13"/>
  <c r="C215" i="10"/>
  <c r="E215" i="10"/>
  <c r="E515" i="13"/>
  <c r="E511" i="13"/>
  <c r="A499" i="13"/>
  <c r="H497" i="13"/>
  <c r="E497" i="13"/>
  <c r="M495" i="13"/>
  <c r="E495" i="13"/>
  <c r="M493" i="13"/>
  <c r="E493" i="13"/>
  <c r="E491" i="13"/>
  <c r="E489" i="13"/>
  <c r="E487" i="13"/>
  <c r="M485" i="13"/>
  <c r="E485" i="13"/>
  <c r="E483" i="13"/>
  <c r="E481" i="13"/>
  <c r="E479" i="13"/>
  <c r="A475" i="13"/>
  <c r="E471" i="13"/>
  <c r="M469" i="13"/>
  <c r="E469" i="13"/>
  <c r="M467" i="13"/>
  <c r="E467" i="13"/>
  <c r="E465" i="13"/>
  <c r="E463" i="13"/>
  <c r="E461" i="13"/>
  <c r="N455" i="13"/>
  <c r="C216" i="10"/>
  <c r="E216" i="10"/>
  <c r="A57" i="2"/>
  <c r="B94" i="7"/>
  <c r="C94" i="7"/>
  <c r="B93" i="7"/>
  <c r="C93" i="7"/>
  <c r="B92" i="7"/>
  <c r="C92" i="7"/>
  <c r="F366" i="13"/>
  <c r="M521" i="13"/>
  <c r="B97" i="7"/>
  <c r="C97" i="7"/>
  <c r="H521" i="13"/>
  <c r="F340" i="13"/>
  <c r="AG243" i="2"/>
  <c r="E338" i="13"/>
  <c r="F336" i="13"/>
  <c r="AG242" i="2"/>
  <c r="E334" i="13"/>
  <c r="AO332" i="13"/>
  <c r="V332" i="13"/>
  <c r="F308" i="13"/>
  <c r="M304" i="13"/>
  <c r="M302" i="13"/>
  <c r="M300" i="13"/>
  <c r="P294" i="13"/>
  <c r="E298" i="13"/>
  <c r="F289" i="13"/>
  <c r="Q287" i="13"/>
  <c r="E287" i="13"/>
  <c r="E285" i="13"/>
  <c r="E283" i="13"/>
  <c r="E281" i="13"/>
  <c r="E279" i="13"/>
  <c r="F271" i="13"/>
  <c r="AE269" i="13"/>
  <c r="X269" i="13"/>
  <c r="W269" i="13"/>
  <c r="E269" i="13"/>
  <c r="AI267" i="13"/>
  <c r="W267" i="13"/>
  <c r="V267" i="13"/>
  <c r="E265" i="13"/>
  <c r="E263" i="13"/>
  <c r="E261" i="13"/>
  <c r="F254" i="13"/>
  <c r="M252" i="13"/>
  <c r="F250" i="13"/>
  <c r="F248" i="13"/>
  <c r="F246" i="13"/>
  <c r="F244" i="13"/>
  <c r="F236" i="13"/>
  <c r="F232" i="13"/>
  <c r="F228" i="13"/>
  <c r="M226" i="13"/>
  <c r="F224" i="13"/>
  <c r="I220" i="13"/>
  <c r="E220" i="13"/>
  <c r="N215" i="13"/>
  <c r="F211" i="13"/>
  <c r="F179" i="13"/>
  <c r="I175" i="13"/>
  <c r="M131" i="13"/>
  <c r="E127" i="13"/>
  <c r="I125" i="13"/>
  <c r="E123" i="13"/>
  <c r="I121" i="13"/>
  <c r="E119" i="13"/>
  <c r="I115" i="13"/>
  <c r="M113" i="13"/>
  <c r="F113" i="13"/>
  <c r="F111" i="13"/>
  <c r="F109" i="13"/>
  <c r="P117" i="13"/>
  <c r="AH242" i="2"/>
  <c r="T182" i="2"/>
  <c r="C173" i="10"/>
  <c r="C174" i="10"/>
  <c r="C175" i="10"/>
  <c r="C176" i="10"/>
  <c r="F273" i="13"/>
  <c r="T180" i="2"/>
  <c r="T179" i="2"/>
  <c r="E267" i="13"/>
  <c r="F364" i="13"/>
  <c r="AO348" i="13"/>
  <c r="M107" i="13"/>
  <c r="F107" i="13"/>
  <c r="Q105" i="13"/>
  <c r="F105" i="13"/>
  <c r="F103" i="13"/>
  <c r="I97" i="13"/>
  <c r="M95" i="13"/>
  <c r="J87" i="13"/>
  <c r="Y79" i="13"/>
  <c r="T79" i="13"/>
  <c r="F79" i="13"/>
  <c r="E77" i="13"/>
  <c r="T75" i="13"/>
  <c r="E75" i="13"/>
  <c r="Q71" i="13"/>
  <c r="Q69" i="13"/>
  <c r="Q67" i="13"/>
  <c r="W64" i="13"/>
  <c r="V64" i="13"/>
  <c r="F62" i="13"/>
  <c r="AP60" i="13"/>
  <c r="R50" i="13"/>
  <c r="M222" i="13"/>
  <c r="AG186" i="2"/>
  <c r="AH186" i="2"/>
  <c r="R47" i="13"/>
  <c r="R45" i="13"/>
  <c r="R41" i="13"/>
  <c r="R39" i="13"/>
  <c r="R37" i="13"/>
  <c r="D119" i="2"/>
  <c r="D118" i="2"/>
  <c r="D117" i="2"/>
  <c r="J455" i="9"/>
  <c r="D116" i="2"/>
  <c r="D115" i="2"/>
  <c r="D114" i="2"/>
  <c r="D113" i="2"/>
  <c r="P217" i="13"/>
  <c r="U170" i="2"/>
  <c r="U151" i="2"/>
  <c r="G153" i="2"/>
  <c r="E173" i="10"/>
  <c r="E174" i="10"/>
  <c r="E175" i="10"/>
  <c r="E176" i="10"/>
  <c r="J273" i="13"/>
  <c r="B86" i="7"/>
  <c r="P329" i="13"/>
  <c r="U197" i="2"/>
  <c r="T176" i="2"/>
  <c r="G158" i="2"/>
  <c r="E455" i="9"/>
  <c r="E471" i="9"/>
  <c r="E487" i="9"/>
  <c r="E503" i="9"/>
  <c r="D112" i="2"/>
  <c r="D111" i="2"/>
  <c r="D109" i="2"/>
  <c r="D106" i="2"/>
  <c r="D105" i="2"/>
  <c r="AL117" i="13"/>
  <c r="L153" i="2"/>
  <c r="K153" i="2"/>
  <c r="J153" i="2"/>
  <c r="N153" i="2"/>
  <c r="M153" i="2"/>
  <c r="G162" i="2"/>
  <c r="H162" i="2"/>
  <c r="AL328" i="13"/>
  <c r="AH249" i="2"/>
  <c r="L158" i="2"/>
  <c r="K158" i="2"/>
  <c r="M158" i="2"/>
  <c r="J158" i="2"/>
  <c r="N158" i="2"/>
  <c r="H158" i="2"/>
  <c r="AO180" i="2"/>
  <c r="AL258" i="13"/>
  <c r="E387" i="9"/>
  <c r="H245" i="9"/>
  <c r="AB125" i="2"/>
  <c r="I241" i="9"/>
  <c r="H241" i="9"/>
  <c r="H237" i="9"/>
  <c r="H233" i="9"/>
  <c r="H229" i="9"/>
  <c r="H218" i="9"/>
  <c r="AB114" i="2"/>
  <c r="H214" i="9"/>
  <c r="AB113" i="2"/>
  <c r="H210" i="9"/>
  <c r="AB112" i="2"/>
  <c r="H206" i="9"/>
  <c r="AB111" i="2"/>
  <c r="H202" i="9"/>
  <c r="I198" i="9"/>
  <c r="H196" i="9"/>
  <c r="AB108" i="2"/>
  <c r="E185" i="9"/>
  <c r="I169" i="9"/>
  <c r="H169" i="9"/>
  <c r="H165" i="9"/>
  <c r="AB97" i="2"/>
  <c r="H161" i="9"/>
  <c r="AB96" i="2"/>
  <c r="H157" i="9"/>
  <c r="AB95" i="2"/>
  <c r="E150" i="9"/>
  <c r="AK139" i="9"/>
  <c r="E137" i="9"/>
  <c r="H133" i="9"/>
  <c r="AB86" i="2"/>
  <c r="H123" i="9"/>
  <c r="AB82" i="2"/>
  <c r="H119" i="9"/>
  <c r="AB81" i="2"/>
  <c r="I106" i="9"/>
  <c r="G157" i="2"/>
  <c r="H157" i="2"/>
  <c r="H156" i="2"/>
  <c r="AL217" i="13"/>
  <c r="P153" i="2"/>
  <c r="A152" i="2"/>
  <c r="J162" i="2"/>
  <c r="K162" i="2"/>
  <c r="M162" i="2"/>
  <c r="N162" i="2"/>
  <c r="L162" i="2"/>
  <c r="P346" i="13"/>
  <c r="M344" i="13"/>
  <c r="AB124" i="2"/>
  <c r="P158" i="2"/>
  <c r="AB110" i="2"/>
  <c r="I229" i="9"/>
  <c r="AB121" i="2"/>
  <c r="I237" i="9"/>
  <c r="AB123" i="2"/>
  <c r="I233" i="9"/>
  <c r="AB122" i="2"/>
  <c r="H106" i="9"/>
  <c r="AB78" i="2"/>
  <c r="H102" i="9"/>
  <c r="I96" i="9"/>
  <c r="H96" i="9"/>
  <c r="AB75" i="2"/>
  <c r="L157" i="2"/>
  <c r="N157" i="2"/>
  <c r="K157" i="2"/>
  <c r="J157" i="2"/>
  <c r="M157" i="2"/>
  <c r="AP153" i="2"/>
  <c r="P162" i="2"/>
  <c r="AO175" i="2"/>
  <c r="A160" i="2"/>
  <c r="J201" i="2"/>
  <c r="I102" i="9"/>
  <c r="AB77" i="2"/>
  <c r="AO179" i="2"/>
  <c r="P157" i="2"/>
  <c r="A158" i="2"/>
  <c r="A201" i="2"/>
  <c r="AO161" i="2"/>
  <c r="AO157" i="2"/>
  <c r="C70" i="7"/>
  <c r="AO156" i="2"/>
  <c r="C69" i="7"/>
  <c r="AO158" i="2"/>
  <c r="AO162" i="2"/>
  <c r="AO160" i="2"/>
  <c r="AO163" i="2"/>
  <c r="C76" i="7"/>
  <c r="AO159" i="2"/>
  <c r="AO155" i="2"/>
  <c r="C68" i="7"/>
  <c r="AO154" i="2"/>
  <c r="C86" i="7"/>
  <c r="A161" i="2"/>
  <c r="B160" i="2"/>
  <c r="AC75" i="2"/>
  <c r="AP172" i="2"/>
  <c r="AP163" i="2"/>
  <c r="C67" i="7"/>
  <c r="Y75" i="2"/>
  <c r="AR86" i="9"/>
  <c r="AO174" i="2"/>
  <c r="C85" i="7"/>
  <c r="AO173" i="2"/>
  <c r="C84" i="7"/>
  <c r="Y76" i="2"/>
  <c r="AB71" i="2"/>
  <c r="AK85" i="9"/>
  <c r="AB72" i="2"/>
  <c r="AP174" i="2"/>
  <c r="AO203" i="2"/>
  <c r="T40" i="2"/>
  <c r="B12" i="7"/>
  <c r="A5" i="7"/>
  <c r="J696" i="6"/>
  <c r="F696" i="6"/>
  <c r="J638" i="6"/>
  <c r="F638" i="6"/>
  <c r="J567" i="6"/>
  <c r="F567" i="6"/>
  <c r="J551" i="6"/>
  <c r="T30" i="2"/>
  <c r="C12" i="7"/>
  <c r="T32" i="2"/>
  <c r="B13" i="7"/>
  <c r="C13" i="7"/>
  <c r="T35" i="2"/>
  <c r="B7" i="7"/>
  <c r="T37" i="2"/>
  <c r="M38" i="2"/>
  <c r="J619" i="6"/>
  <c r="T34" i="2"/>
  <c r="B14" i="7"/>
  <c r="T38" i="2"/>
  <c r="B15" i="7"/>
  <c r="C14" i="7"/>
  <c r="T39" i="2"/>
  <c r="B8" i="7"/>
  <c r="C7" i="7"/>
  <c r="F551" i="6"/>
  <c r="J533" i="6"/>
  <c r="F533" i="6"/>
  <c r="J513" i="6"/>
  <c r="F513" i="6"/>
  <c r="J473" i="6"/>
  <c r="J455" i="6"/>
  <c r="T25" i="2"/>
  <c r="J437" i="6"/>
  <c r="T24" i="2"/>
  <c r="J419" i="6"/>
  <c r="T23" i="2"/>
  <c r="J401" i="6"/>
  <c r="T22" i="2"/>
  <c r="J382" i="6"/>
  <c r="T21" i="2"/>
  <c r="J361" i="6"/>
  <c r="F361" i="6"/>
  <c r="J343" i="6"/>
  <c r="F343" i="6"/>
  <c r="J325" i="6"/>
  <c r="F325" i="6"/>
  <c r="J307" i="6"/>
  <c r="F307" i="6"/>
  <c r="J289" i="6"/>
  <c r="F289" i="6"/>
  <c r="J271" i="6"/>
  <c r="Q251" i="6"/>
  <c r="J248" i="6"/>
  <c r="T13" i="2"/>
  <c r="J225" i="6"/>
  <c r="F225" i="6"/>
  <c r="J189" i="6"/>
  <c r="F189" i="6"/>
  <c r="F171" i="6"/>
  <c r="T8" i="2"/>
  <c r="T7" i="2"/>
  <c r="T6" i="2"/>
  <c r="T5" i="2"/>
  <c r="X66" i="6"/>
  <c r="X61" i="9"/>
  <c r="N60" i="6"/>
  <c r="N55" i="9"/>
  <c r="X51" i="9"/>
  <c r="F271" i="6"/>
  <c r="X60" i="6"/>
  <c r="X55" i="9"/>
  <c r="F619" i="6"/>
  <c r="F137" i="6"/>
  <c r="F248" i="6"/>
  <c r="F382" i="6"/>
  <c r="F401" i="6"/>
  <c r="F419" i="6"/>
  <c r="F437" i="6"/>
  <c r="F455" i="6"/>
  <c r="T4" i="2"/>
  <c r="B22" i="7"/>
  <c r="T9" i="2"/>
  <c r="B32" i="7"/>
  <c r="T10" i="2"/>
  <c r="B17" i="7"/>
  <c r="T11" i="2"/>
  <c r="B37" i="7"/>
  <c r="T12" i="2"/>
  <c r="B28" i="7"/>
  <c r="T15" i="2"/>
  <c r="B10" i="7"/>
  <c r="T16" i="2"/>
  <c r="B29" i="7"/>
  <c r="T17" i="2"/>
  <c r="B30" i="7"/>
  <c r="C29" i="7"/>
  <c r="T18" i="2"/>
  <c r="B23" i="7"/>
  <c r="T19" i="2"/>
  <c r="B16" i="7"/>
  <c r="C15" i="7"/>
  <c r="T20" i="2"/>
  <c r="B31" i="7"/>
  <c r="C30" i="7"/>
  <c r="F473" i="6"/>
  <c r="T26" i="2"/>
  <c r="B34" i="7"/>
  <c r="T28" i="2"/>
  <c r="B26" i="7"/>
  <c r="T29" i="2"/>
  <c r="B9" i="7"/>
  <c r="C8" i="7"/>
  <c r="E44" i="6"/>
  <c r="C22" i="7"/>
  <c r="C28" i="7"/>
  <c r="C9" i="7"/>
  <c r="C10" i="7"/>
  <c r="C31" i="7"/>
  <c r="C32" i="7"/>
  <c r="C16" i="7"/>
  <c r="E352" i="13"/>
  <c r="B21" i="7"/>
  <c r="C21" i="7"/>
  <c r="B20" i="7"/>
  <c r="C20" i="7"/>
  <c r="B19" i="7"/>
  <c r="C19" i="7"/>
  <c r="B18" i="7"/>
  <c r="C18" i="7"/>
  <c r="C17" i="7"/>
  <c r="B27" i="7"/>
  <c r="C27" i="7"/>
  <c r="C26" i="7"/>
  <c r="B25" i="7"/>
  <c r="C25" i="7"/>
  <c r="B6" i="7"/>
  <c r="C6" i="7"/>
  <c r="B11" i="7"/>
  <c r="C11" i="7"/>
  <c r="AC81" i="2"/>
  <c r="AB98" i="2"/>
  <c r="AK66" i="9"/>
  <c r="AC108" i="2"/>
  <c r="E110" i="9"/>
  <c r="B24" i="7"/>
  <c r="C24" i="7"/>
  <c r="C23" i="7"/>
  <c r="B33" i="7"/>
  <c r="C33" i="7"/>
  <c r="B36" i="7"/>
  <c r="C36" i="7"/>
  <c r="B35" i="7"/>
  <c r="C35" i="7"/>
  <c r="C34" i="7"/>
  <c r="B47" i="7"/>
  <c r="C47" i="7"/>
  <c r="B45" i="7"/>
  <c r="C45" i="7"/>
  <c r="B44" i="7"/>
  <c r="C44" i="7"/>
  <c r="B43" i="7"/>
  <c r="C43" i="7"/>
  <c r="B38" i="7"/>
  <c r="C38" i="7"/>
  <c r="C37" i="7"/>
  <c r="B48" i="7"/>
  <c r="B62" i="7"/>
  <c r="C62" i="7"/>
  <c r="B61" i="7"/>
  <c r="C61" i="7"/>
  <c r="B60" i="7"/>
  <c r="C60" i="7"/>
  <c r="B59" i="7"/>
  <c r="C59" i="7"/>
  <c r="B50" i="7"/>
  <c r="C50" i="7"/>
  <c r="B49" i="7"/>
  <c r="C49" i="7"/>
  <c r="B56" i="7"/>
  <c r="C56" i="7"/>
  <c r="B54" i="7"/>
  <c r="C54" i="7"/>
  <c r="B53" i="7"/>
  <c r="C53" i="7"/>
  <c r="B52" i="7"/>
  <c r="AA79" i="2"/>
  <c r="AA81" i="2"/>
  <c r="AA93" i="2"/>
  <c r="P68" i="2"/>
  <c r="A65" i="2"/>
  <c r="AA98" i="2"/>
  <c r="AO67" i="2"/>
  <c r="AO66" i="2"/>
  <c r="Y110" i="2"/>
  <c r="AR190" i="9"/>
  <c r="AO68" i="2"/>
  <c r="C48" i="7"/>
  <c r="C52" i="7"/>
  <c r="B51" i="7"/>
  <c r="C51" i="7"/>
  <c r="E222" i="9"/>
  <c r="E360" i="13"/>
  <c r="E356" i="13"/>
  <c r="E362" i="13"/>
  <c r="E358" i="13"/>
  <c r="E354" i="13"/>
  <c r="Y83" i="2"/>
  <c r="AB80" i="2"/>
  <c r="AR113" i="9"/>
  <c r="AC95" i="2"/>
  <c r="Y97" i="2"/>
  <c r="E83" i="9"/>
  <c r="B55" i="7"/>
  <c r="C55" i="7"/>
  <c r="AB107" i="2"/>
  <c r="Y111" i="2"/>
  <c r="AB106" i="2"/>
  <c r="AK187" i="9"/>
  <c r="Y84" i="2"/>
  <c r="AB79" i="2"/>
  <c r="AK112" i="9"/>
  <c r="AR153" i="9"/>
  <c r="B41" i="7"/>
  <c r="C41" i="7"/>
  <c r="AB94" i="2"/>
  <c r="Y98" i="2"/>
  <c r="AB93" i="2"/>
  <c r="AK152" i="9"/>
  <c r="B75" i="7"/>
  <c r="C75" i="7"/>
  <c r="J310" i="13"/>
  <c r="B88" i="7"/>
  <c r="C88" i="7"/>
  <c r="G64" i="2"/>
  <c r="H64" i="2"/>
  <c r="G70" i="2"/>
  <c r="H70" i="2"/>
  <c r="A76" i="2"/>
  <c r="B76" i="2"/>
  <c r="A91" i="2"/>
  <c r="B91" i="2"/>
  <c r="AO75" i="2"/>
  <c r="AO76" i="2"/>
  <c r="B42" i="7"/>
  <c r="C42" i="7"/>
  <c r="I245" i="9"/>
  <c r="AC121" i="2"/>
  <c r="M318" i="13"/>
  <c r="F324" i="13"/>
  <c r="E316" i="13"/>
  <c r="AD235" i="2"/>
  <c r="J315" i="13"/>
  <c r="M320" i="13"/>
  <c r="A92" i="2"/>
  <c r="I105" i="2"/>
  <c r="AO93" i="2"/>
  <c r="AR225" i="9"/>
  <c r="Y123" i="2"/>
  <c r="A77" i="2"/>
  <c r="I103" i="2"/>
  <c r="E249" i="9"/>
  <c r="AB120" i="2"/>
  <c r="M102" i="2"/>
  <c r="L102" i="2"/>
  <c r="A67" i="2"/>
  <c r="AB127" i="2"/>
  <c r="Y124" i="2"/>
  <c r="AB119" i="2"/>
  <c r="AK224" i="9"/>
  <c r="B67" i="2"/>
  <c r="A98" i="2"/>
  <c r="A68" i="2"/>
  <c r="I102" i="2"/>
  <c r="AL477" i="13"/>
  <c r="H173" i="2"/>
  <c r="H171" i="2"/>
  <c r="A175" i="2"/>
  <c r="A101" i="2"/>
  <c r="A100" i="2"/>
  <c r="B175" i="2"/>
  <c r="A176" i="2"/>
  <c r="J203" i="2"/>
  <c r="C200" i="2"/>
  <c r="B189" i="2"/>
  <c r="C201" i="2"/>
  <c r="A203" i="2"/>
  <c r="J205" i="2"/>
  <c r="A206" i="2"/>
  <c r="AP44" i="6"/>
  <c r="A205" i="2"/>
  <c r="AG44" i="6"/>
  <c r="J189" i="9"/>
  <c r="AX11" i="19"/>
  <c r="AX15" i="19"/>
  <c r="AX10" i="19"/>
  <c r="AP1" i="2"/>
  <c r="AC4" i="18"/>
  <c r="AC4" i="9"/>
  <c r="AX21" i="19"/>
  <c r="AX5" i="19"/>
  <c r="G13" i="19"/>
  <c r="AX25" i="19"/>
  <c r="G19" i="19"/>
  <c r="G10" i="6"/>
  <c r="AX7" i="19"/>
  <c r="AX12" i="19"/>
  <c r="Z17" i="19"/>
  <c r="Z8" i="6"/>
  <c r="AX13" i="19"/>
  <c r="AX22" i="19"/>
  <c r="AJ13" i="19"/>
  <c r="AJ4" i="6"/>
  <c r="AX19" i="19"/>
  <c r="AX17" i="19"/>
  <c r="AG13" i="19"/>
  <c r="AG4" i="6"/>
  <c r="AX9" i="19"/>
  <c r="AX23" i="19"/>
  <c r="G17" i="19"/>
  <c r="G8" i="6"/>
  <c r="AC4" i="13"/>
  <c r="AX24" i="19"/>
  <c r="AY24" i="19"/>
  <c r="G15" i="19"/>
  <c r="G6" i="6"/>
  <c r="A9" i="19"/>
  <c r="G6" i="13"/>
  <c r="G4" i="6"/>
  <c r="G10" i="13"/>
  <c r="G8" i="18"/>
  <c r="G8" i="9"/>
  <c r="AG4" i="18"/>
  <c r="AG4" i="13"/>
  <c r="AG4" i="9"/>
  <c r="AJ4" i="18"/>
  <c r="AJ4" i="13"/>
  <c r="AJ4" i="9"/>
  <c r="G8" i="13"/>
  <c r="G4" i="18"/>
  <c r="G4" i="13"/>
  <c r="D1" i="7"/>
  <c r="G4" i="9"/>
  <c r="N12" i="18"/>
  <c r="Z8" i="18"/>
  <c r="Z10" i="13"/>
  <c r="Z8" i="9"/>
  <c r="G10" i="18"/>
  <c r="G12" i="13"/>
  <c r="G10" i="9"/>
  <c r="G6" i="9"/>
  <c r="G6" i="18"/>
  <c r="J351" i="9"/>
  <c r="J301" i="9"/>
  <c r="A75" i="2"/>
  <c r="A97" i="2"/>
  <c r="A74" i="2"/>
  <c r="A96" i="2"/>
  <c r="J317" i="9"/>
  <c r="E317" i="9"/>
  <c r="E351" i="9"/>
  <c r="D110" i="2"/>
  <c r="B58" i="7"/>
  <c r="C58" i="7"/>
  <c r="E301" i="9"/>
  <c r="D107" i="2"/>
  <c r="B46" i="7"/>
  <c r="C46" i="7"/>
  <c r="D108" i="2"/>
  <c r="B57" i="7"/>
  <c r="C57" i="7"/>
</calcChain>
</file>

<file path=xl/sharedStrings.xml><?xml version="1.0" encoding="utf-8"?>
<sst xmlns="http://schemas.openxmlformats.org/spreadsheetml/2006/main" count="17565" uniqueCount="9162">
  <si>
    <t>1.6.2</t>
  </si>
  <si>
    <t>1.6.3</t>
  </si>
  <si>
    <t>1.6.4</t>
  </si>
  <si>
    <t>1.6.5</t>
  </si>
  <si>
    <t>1.6.6</t>
  </si>
  <si>
    <t xml:space="preserve">OTHER EXPOSURES </t>
  </si>
  <si>
    <t>1.7.1</t>
  </si>
  <si>
    <t>1.7.2</t>
  </si>
  <si>
    <t>1.7.3</t>
  </si>
  <si>
    <t>1.7.4</t>
  </si>
  <si>
    <t>1.7.5</t>
  </si>
  <si>
    <r>
      <t>2</t>
    </r>
    <r>
      <rPr>
        <sz val="20"/>
        <rFont val="Arial"/>
        <family val="2"/>
      </rPr>
      <t xml:space="preserve">   </t>
    </r>
    <r>
      <rPr>
        <b/>
        <sz val="20"/>
        <color indexed="12"/>
        <rFont val="Arial"/>
        <family val="2"/>
      </rPr>
      <t>MANAGEMENT CONTROLS</t>
    </r>
  </si>
  <si>
    <t>2.1.1</t>
  </si>
  <si>
    <t>2.1.2</t>
  </si>
  <si>
    <t>2.1.3</t>
  </si>
  <si>
    <t>2.1.4</t>
  </si>
  <si>
    <t>2.1.5</t>
  </si>
  <si>
    <t>2.2.1</t>
  </si>
  <si>
    <t>2.2.2</t>
  </si>
  <si>
    <t>2.2.3</t>
  </si>
  <si>
    <t>2.2.4</t>
  </si>
  <si>
    <t>2.2.5</t>
  </si>
  <si>
    <t>RETURN TO WORK &amp; LIGHT DUTY</t>
  </si>
  <si>
    <t>2.3.1</t>
  </si>
  <si>
    <t>2.3.2</t>
  </si>
  <si>
    <t>2.3.3</t>
  </si>
  <si>
    <t>2.3.4</t>
  </si>
  <si>
    <t>2.3.5</t>
  </si>
  <si>
    <t>DRUG FREE WORKPLACE</t>
  </si>
  <si>
    <t>2.4.1</t>
  </si>
  <si>
    <t>2.4.2</t>
  </si>
  <si>
    <t>2.4.3</t>
  </si>
  <si>
    <t>2.4.4</t>
  </si>
  <si>
    <t>2.4.5</t>
  </si>
  <si>
    <t>SAFETY PROGRAM</t>
  </si>
  <si>
    <t>2.5.1</t>
  </si>
  <si>
    <t>2.5.2</t>
  </si>
  <si>
    <t>2.5.3</t>
  </si>
  <si>
    <t>2.5.4</t>
  </si>
  <si>
    <t>2.5.5</t>
  </si>
  <si>
    <t>MEDICAL CARE PROVIDERS</t>
  </si>
  <si>
    <t>2.6.1</t>
  </si>
  <si>
    <t>2.6.2</t>
  </si>
  <si>
    <t>2.6.3</t>
  </si>
  <si>
    <t>2.6.4</t>
  </si>
  <si>
    <t>2.6.5</t>
  </si>
  <si>
    <t>2.6.6</t>
  </si>
  <si>
    <r>
      <t>3</t>
    </r>
    <r>
      <rPr>
        <b/>
        <sz val="20"/>
        <color indexed="12"/>
        <rFont val="Arial"/>
        <family val="2"/>
      </rPr>
      <t xml:space="preserve">   TRAINING</t>
    </r>
  </si>
  <si>
    <t>ORIENTATION &amp; JOB TRAINING</t>
  </si>
  <si>
    <t>3.1.1</t>
  </si>
  <si>
    <t>3.1.2</t>
  </si>
  <si>
    <t>3.1.3</t>
  </si>
  <si>
    <t>3.1.4</t>
  </si>
  <si>
    <t>3.1.5</t>
  </si>
  <si>
    <t>LIFTING TRAINING</t>
  </si>
  <si>
    <t>3.2.1</t>
  </si>
  <si>
    <t>3.2.2</t>
  </si>
  <si>
    <t>3.2.3</t>
  </si>
  <si>
    <t>3.2.4</t>
  </si>
  <si>
    <t>3.2.5</t>
  </si>
  <si>
    <t>HAZARD COMMUNICATION TRAINING</t>
  </si>
  <si>
    <t>3.3.1</t>
  </si>
  <si>
    <t>3.3.2</t>
  </si>
  <si>
    <t>3.3.3</t>
  </si>
  <si>
    <t>3.3.4</t>
  </si>
  <si>
    <t>3.3.5</t>
  </si>
  <si>
    <t>3.4.1</t>
  </si>
  <si>
    <t>3.4.2</t>
  </si>
  <si>
    <t>3.4.3</t>
  </si>
  <si>
    <t>APPLICATIONS</t>
  </si>
  <si>
    <t>category</t>
  </si>
  <si>
    <t>LS - Limited Service YMCA</t>
  </si>
  <si>
    <t>GF - Gymnastics Facility</t>
  </si>
  <si>
    <t>FS - Full Service YMCA</t>
  </si>
  <si>
    <t>DC - Day Camp</t>
  </si>
  <si>
    <t>CO - Corporate offices</t>
  </si>
  <si>
    <t>CF - Childcare facility</t>
  </si>
  <si>
    <t>AF - Aquatic Facility</t>
  </si>
  <si>
    <t>VACANT - owned by YMCA</t>
  </si>
  <si>
    <t>Occupied by Y, leased from others</t>
  </si>
  <si>
    <t>Occupied by Y, owned by YMCA</t>
  </si>
  <si>
    <t>Occupied by Others, owned by Y</t>
  </si>
  <si>
    <t>No Water Supply</t>
  </si>
  <si>
    <t>no alarm</t>
  </si>
  <si>
    <t>no manual fire alarm</t>
  </si>
  <si>
    <t>no crime alarm</t>
  </si>
  <si>
    <t>declined</t>
  </si>
  <si>
    <t>list1b-&gt;</t>
  </si>
  <si>
    <t>list11</t>
  </si>
  <si>
    <t>list9</t>
  </si>
  <si>
    <t>list8</t>
  </si>
  <si>
    <t>list7</t>
  </si>
  <si>
    <t>list6</t>
  </si>
  <si>
    <t>list5</t>
  </si>
  <si>
    <t>list4</t>
  </si>
  <si>
    <t>list3</t>
  </si>
  <si>
    <t>list2</t>
  </si>
  <si>
    <t>industrial</t>
  </si>
  <si>
    <t>commercial</t>
  </si>
  <si>
    <t>residential</t>
  </si>
  <si>
    <t>mixed industrial and commercial</t>
  </si>
  <si>
    <t>mixed commercial and residential</t>
  </si>
  <si>
    <t>undeveloped</t>
  </si>
  <si>
    <t>urban area</t>
  </si>
  <si>
    <t>suburb</t>
  </si>
  <si>
    <t>city</t>
  </si>
  <si>
    <t>town</t>
  </si>
  <si>
    <t>rural area</t>
  </si>
  <si>
    <t>list17</t>
  </si>
  <si>
    <t>&lt;= 1 mile</t>
  </si>
  <si>
    <t>&gt;1 mile and &lt;= 5 miles</t>
  </si>
  <si>
    <t>&gt;5 miles and &lt;=10 miles</t>
  </si>
  <si>
    <t>&gt;10 miles and &lt;=50 miles</t>
  </si>
  <si>
    <t>&gt;50 miles and &lt;= 100 miles</t>
  </si>
  <si>
    <t>&gt; 100 miles</t>
  </si>
  <si>
    <t>list18</t>
  </si>
  <si>
    <t>NO POOL</t>
  </si>
  <si>
    <t>indoor</t>
  </si>
  <si>
    <t>outdoor</t>
  </si>
  <si>
    <t>other</t>
  </si>
  <si>
    <t>no elevated chair</t>
  </si>
  <si>
    <t>tall elevated chair (seat height 60" or more above deck)</t>
  </si>
  <si>
    <t>no entry devices</t>
  </si>
  <si>
    <t>racing stands</t>
  </si>
  <si>
    <t>1-meter diving board</t>
  </si>
  <si>
    <t>3-meter diving board</t>
  </si>
  <si>
    <t>short slide (less than 5' drop)</t>
  </si>
  <si>
    <t>tall slide (5' or more drop)</t>
  </si>
  <si>
    <t>multiple entry devices</t>
  </si>
  <si>
    <t>mid elevated chair (seat height 48" to 60" above deck)</t>
  </si>
  <si>
    <t>low elevated chair (seat height 30" to 48" above deck)</t>
  </si>
  <si>
    <t>list21</t>
  </si>
  <si>
    <t>other entry device</t>
  </si>
  <si>
    <t>no glare</t>
  </si>
  <si>
    <t>minimal glare</t>
  </si>
  <si>
    <t>moderate glare</t>
  </si>
  <si>
    <t>severe glare</t>
  </si>
  <si>
    <t>hybrid</t>
  </si>
  <si>
    <t>list22</t>
  </si>
  <si>
    <t>no AED</t>
  </si>
  <si>
    <t>no oxygen</t>
  </si>
  <si>
    <t>on pool deck</t>
  </si>
  <si>
    <t>in locker room(s)</t>
  </si>
  <si>
    <t>adequate windows</t>
  </si>
  <si>
    <t>inadequate windows</t>
  </si>
  <si>
    <t>in open area</t>
  </si>
  <si>
    <t>adequate placarding</t>
  </si>
  <si>
    <t>sign(s) missing component(s)</t>
  </si>
  <si>
    <t>list27</t>
  </si>
  <si>
    <t>list28</t>
  </si>
  <si>
    <t>list29</t>
  </si>
  <si>
    <t>monitoring</t>
  </si>
  <si>
    <t xml:space="preserve">Workers' Compensation Risk Analysis
</t>
  </si>
  <si>
    <t>GO TO EXPOSURES &amp; CONTROLS</t>
  </si>
  <si>
    <t>GO TO MANAGEMENT CONTROLS</t>
  </si>
  <si>
    <t>GO TO TRAINING</t>
  </si>
  <si>
    <t>GO TO REPORTING</t>
  </si>
  <si>
    <r>
      <t xml:space="preserve">OPERATIONS INFORMATION </t>
    </r>
    <r>
      <rPr>
        <sz val="10"/>
        <rFont val="Arial"/>
      </rPr>
      <t>- responses to following questions are to be approximations, not an audit</t>
    </r>
  </si>
  <si>
    <t>ON-SITE BEFORE/AFTER?</t>
  </si>
  <si>
    <t>OFF-SITE BEFORE/AFTER?</t>
  </si>
  <si>
    <r>
      <t>1</t>
    </r>
    <r>
      <rPr>
        <b/>
        <sz val="20"/>
        <color indexed="12"/>
        <rFont val="Arial"/>
        <family val="2"/>
      </rPr>
      <t xml:space="preserve">   EXPOSURES &amp; CONTROLS</t>
    </r>
  </si>
  <si>
    <r>
      <t>HOUSEKEEPING &amp; PREMISES</t>
    </r>
    <r>
      <rPr>
        <i/>
        <sz val="9"/>
        <rFont val="Arial"/>
        <family val="2"/>
      </rPr>
      <t xml:space="preserve"> - interior and exterior especially in non-public areas</t>
    </r>
  </si>
  <si>
    <t>1.1.1</t>
  </si>
  <si>
    <t>Access to the facility should be controlled by securing all unattended entrances, using membership cards that have a photograph or display one to a monitor when scanned, and requiring all adult non-members to provide government- or school-issued photo ID.</t>
  </si>
  <si>
    <t>Camping</t>
  </si>
  <si>
    <t>owned: summer</t>
  </si>
  <si>
    <t>owned: summer +</t>
  </si>
  <si>
    <t>n/a</t>
  </si>
  <si>
    <t>plat</t>
  </si>
  <si>
    <t>gold</t>
  </si>
  <si>
    <t>yellow</t>
  </si>
  <si>
    <t>red</t>
  </si>
  <si>
    <t>diam</t>
  </si>
  <si>
    <t>VEHICLE MAINTENANCE AND INSPECTION</t>
  </si>
  <si>
    <t>AQUATIC MANAGEMENT</t>
  </si>
  <si>
    <t>LIFEGUARD HIRING PRACTICES</t>
  </si>
  <si>
    <t>POOL PHYSICAL CHARACTERISTICS</t>
  </si>
  <si>
    <t>IN-SERVICE TOPICS AND TRAINING</t>
  </si>
  <si>
    <t>AUDITS AND OBSERVATIONS</t>
  </si>
  <si>
    <t>AUTOMATIC EXTERNAL DEFIBRILLATORS (AEDs)</t>
  </si>
  <si>
    <t>EMERGENCY RESPONSE MECHANISM</t>
  </si>
  <si>
    <t>LIFEGUARD ROTATION AND BREAKS</t>
  </si>
  <si>
    <t>SWIMMER TESTING AND MARKING</t>
  </si>
  <si>
    <r>
      <t>SCANNING AND ZONE VALIDATION (</t>
    </r>
    <r>
      <rPr>
        <b/>
        <sz val="8"/>
        <rFont val="Arial"/>
        <family val="2"/>
      </rPr>
      <t>OR</t>
    </r>
    <r>
      <rPr>
        <b/>
        <sz val="11"/>
        <rFont val="Arial"/>
        <family val="2"/>
      </rPr>
      <t xml:space="preserve"> RESPONSE)</t>
    </r>
  </si>
  <si>
    <t>LIFEGUARD CONDUCT AND BEHAVIOR</t>
  </si>
  <si>
    <r>
      <t xml:space="preserve">LIFEGUARD PREPAREDNESS </t>
    </r>
    <r>
      <rPr>
        <sz val="8"/>
        <rFont val="Arial"/>
        <family val="2"/>
      </rPr>
      <t>- INCLUDING ATTIRE, POSITIONING, AND EQUIPMENT</t>
    </r>
  </si>
  <si>
    <t>OTHER CONSIDERATIONS</t>
  </si>
  <si>
    <t>POOLS</t>
  </si>
  <si>
    <t xml:space="preserve">number of -- </t>
  </si>
  <si>
    <t>#</t>
  </si>
  <si>
    <t>EMERGENCY OXYGEN</t>
  </si>
  <si>
    <t>Abuse status</t>
  </si>
  <si>
    <t>Aquatic status</t>
  </si>
  <si>
    <t>Transportation status</t>
  </si>
  <si>
    <t>Collaboration status</t>
  </si>
  <si>
    <t>Other status</t>
  </si>
  <si>
    <t>4.2.5</t>
  </si>
  <si>
    <t xml:space="preserve">  skate board parks</t>
  </si>
  <si>
    <t>protocols</t>
  </si>
  <si>
    <t xml:space="preserve">  roofing</t>
  </si>
  <si>
    <t xml:space="preserve">  logging</t>
  </si>
  <si>
    <t xml:space="preserve">  navigatible waters</t>
  </si>
  <si>
    <t xml:space="preserve">  detention facility / armed guards</t>
  </si>
  <si>
    <t xml:space="preserve">  pressure vessel repair</t>
  </si>
  <si>
    <t xml:space="preserve">  applications</t>
  </si>
  <si>
    <t xml:space="preserve">  criminal background checks</t>
  </si>
  <si>
    <t xml:space="preserve">  RTW / light duty</t>
  </si>
  <si>
    <t xml:space="preserve">  drug-free workplace</t>
  </si>
  <si>
    <t xml:space="preserve">  safety program</t>
  </si>
  <si>
    <t xml:space="preserve">  medical care providers</t>
  </si>
  <si>
    <t xml:space="preserve">  orientation</t>
  </si>
  <si>
    <t xml:space="preserve">  lifting</t>
  </si>
  <si>
    <t xml:space="preserve">  haz com</t>
  </si>
  <si>
    <t xml:space="preserve">  blood-borne pathogen</t>
  </si>
  <si>
    <t xml:space="preserve">  first aid / cpr</t>
  </si>
  <si>
    <t xml:space="preserve">  internal</t>
  </si>
  <si>
    <t xml:space="preserve">  to carrier</t>
  </si>
  <si>
    <t xml:space="preserve">  accident investigation</t>
  </si>
  <si>
    <t xml:space="preserve">  premises</t>
  </si>
  <si>
    <t>ACCIDENT / INCIDENT INVESTIGATION &amp; REVIEW</t>
  </si>
  <si>
    <t>4.3.1</t>
  </si>
  <si>
    <t>4.3.2</t>
  </si>
  <si>
    <t>4.3.3</t>
  </si>
  <si>
    <t>4.3.4</t>
  </si>
  <si>
    <t>4.3.5</t>
  </si>
  <si>
    <t>PREMISES &amp; EQUIPMENT INSPECTIONS OR AUDITS</t>
  </si>
  <si>
    <t>4.4.1</t>
  </si>
  <si>
    <t>4.4.2</t>
  </si>
  <si>
    <t>4.4.3</t>
  </si>
  <si>
    <t>4.4.4</t>
  </si>
  <si>
    <t>4.4.5</t>
  </si>
  <si>
    <t xml:space="preserve">PACKAGE </t>
  </si>
  <si>
    <t>WORKERS' COMP</t>
  </si>
  <si>
    <t>proper</t>
  </si>
  <si>
    <t>improper</t>
  </si>
  <si>
    <t>score</t>
  </si>
  <si>
    <t>message</t>
  </si>
  <si>
    <t>EXPOSURES &amp; CONTROLS</t>
  </si>
  <si>
    <t>HOUSEKEEPING &amp; PREMISES</t>
  </si>
  <si>
    <t>HAZARDOUS CHEMICALS, ETC.</t>
  </si>
  <si>
    <t xml:space="preserve">  illumination</t>
  </si>
  <si>
    <t>VEHICLES, MACHINERY, &amp; EQUIPMENT</t>
  </si>
  <si>
    <t xml:space="preserve">  dry floor</t>
  </si>
  <si>
    <t>grades calculated in table at right</t>
  </si>
  <si>
    <t xml:space="preserve">  wet floor slope</t>
  </si>
  <si>
    <t>NON-EMPLOYEES</t>
  </si>
  <si>
    <t xml:space="preserve">  stairs</t>
  </si>
  <si>
    <t>CAMP OPERATIONS &amp; SIMILAR EXP.</t>
  </si>
  <si>
    <t xml:space="preserve">  ladders</t>
  </si>
  <si>
    <t>OTHER EXPOSURES</t>
  </si>
  <si>
    <t xml:space="preserve">  storage</t>
  </si>
  <si>
    <t>HAZARDOUS MATERIALS</t>
  </si>
  <si>
    <t xml:space="preserve">  flammables</t>
  </si>
  <si>
    <t>MANAGEMENT CONTROLS</t>
  </si>
  <si>
    <t xml:space="preserve">  compressed gases</t>
  </si>
  <si>
    <t xml:space="preserve">  acids / alkalis</t>
  </si>
  <si>
    <t>withdrawn</t>
  </si>
  <si>
    <t>TELE</t>
  </si>
  <si>
    <t>EXP. DATE</t>
  </si>
  <si>
    <t>SOCIAL SERVICES?</t>
  </si>
  <si>
    <t>NATURAL  WATER?</t>
  </si>
  <si>
    <t xml:space="preserve">indoor </t>
  </si>
  <si>
    <t xml:space="preserve">managed indoor </t>
  </si>
  <si>
    <t xml:space="preserve">outdoor </t>
  </si>
  <si>
    <t xml:space="preserve">managed outdoor </t>
  </si>
  <si>
    <t>3.4.4</t>
  </si>
  <si>
    <t>3.4.5</t>
  </si>
  <si>
    <t>FIRST AID &amp; CPR TRAINING</t>
  </si>
  <si>
    <t>3.5.1</t>
  </si>
  <si>
    <t>3.5.2</t>
  </si>
  <si>
    <t>3.5.3</t>
  </si>
  <si>
    <t>3.5.4</t>
  </si>
  <si>
    <t>3.5.5</t>
  </si>
  <si>
    <t>INTERNAL ACCIDENT &amp; INCIDENT REPORTING</t>
  </si>
  <si>
    <t>4.1.1</t>
  </si>
  <si>
    <t>4.1.2</t>
  </si>
  <si>
    <t>4.1.3</t>
  </si>
  <si>
    <t>4.1.4</t>
  </si>
  <si>
    <t>4.1.5</t>
  </si>
  <si>
    <r>
      <t>EXTERNAL LOSS REPORTING</t>
    </r>
    <r>
      <rPr>
        <sz val="11"/>
        <rFont val="Arial"/>
        <family val="2"/>
      </rPr>
      <t xml:space="preserve"> - </t>
    </r>
    <r>
      <rPr>
        <i/>
        <sz val="10"/>
        <rFont val="Arial"/>
        <family val="2"/>
      </rPr>
      <t>reported to insurance carrier - to be verified by loss runs</t>
    </r>
  </si>
  <si>
    <t>4.2.1</t>
  </si>
  <si>
    <t>4.2.2</t>
  </si>
  <si>
    <t>4.2.3</t>
  </si>
  <si>
    <t>4.2.4</t>
  </si>
  <si>
    <t>1.6.7</t>
  </si>
  <si>
    <t>1.4.5</t>
  </si>
  <si>
    <t>1.4.4</t>
  </si>
  <si>
    <t>1.7.6</t>
  </si>
  <si>
    <t>1.8.1</t>
  </si>
  <si>
    <t>1.8.2</t>
  </si>
  <si>
    <t>1.8.3</t>
  </si>
  <si>
    <t>1.8.4</t>
  </si>
  <si>
    <t>1.8.5</t>
  </si>
  <si>
    <t>1.8.6</t>
  </si>
  <si>
    <t>1.9.1</t>
  </si>
  <si>
    <t>1.9.2</t>
  </si>
  <si>
    <t>1.9.3</t>
  </si>
  <si>
    <t>1.9.4</t>
  </si>
  <si>
    <t>1.9.5</t>
  </si>
  <si>
    <t>1.9.6</t>
  </si>
  <si>
    <t>1.10.1</t>
  </si>
  <si>
    <t>1.10.2</t>
  </si>
  <si>
    <t>1.10.3</t>
  </si>
  <si>
    <t>1.10.4</t>
  </si>
  <si>
    <t>1.10.5</t>
  </si>
  <si>
    <t>1.10.6</t>
  </si>
  <si>
    <r>
      <t>2</t>
    </r>
    <r>
      <rPr>
        <b/>
        <sz val="20"/>
        <color indexed="12"/>
        <rFont val="Arial"/>
        <family val="2"/>
      </rPr>
      <t xml:space="preserve">    AQUATIC SAFETY</t>
    </r>
    <r>
      <rPr>
        <b/>
        <sz val="18"/>
        <color indexed="12"/>
        <rFont val="Arial"/>
        <family val="2"/>
      </rPr>
      <t xml:space="preserve"> </t>
    </r>
    <r>
      <rPr>
        <sz val="9"/>
        <color indexed="12"/>
        <rFont val="Arial"/>
        <family val="2"/>
      </rPr>
      <t>NOTE IF CONTROLS ARE DIFFERENT FOR OFF-SITE MANAGED POOLS</t>
    </r>
  </si>
  <si>
    <r>
      <t>1</t>
    </r>
    <r>
      <rPr>
        <b/>
        <sz val="20"/>
        <color indexed="12"/>
        <rFont val="Arial"/>
        <family val="2"/>
      </rPr>
      <t xml:space="preserve">    ABUSE PREVENTION</t>
    </r>
  </si>
  <si>
    <t>2.1.6</t>
  </si>
  <si>
    <t>2.2.6</t>
  </si>
  <si>
    <t>2.3.6</t>
  </si>
  <si>
    <t>2.4.6</t>
  </si>
  <si>
    <t>2.5.6</t>
  </si>
  <si>
    <t>2.7.1</t>
  </si>
  <si>
    <t>2.7.2</t>
  </si>
  <si>
    <t>2.7.3</t>
  </si>
  <si>
    <t>2.7.4</t>
  </si>
  <si>
    <t>2.7.5</t>
  </si>
  <si>
    <t>2.7.6</t>
  </si>
  <si>
    <t>2.8.1</t>
  </si>
  <si>
    <t>2.8.2</t>
  </si>
  <si>
    <t>2.8.3</t>
  </si>
  <si>
    <t>2.8.4</t>
  </si>
  <si>
    <t>2.8.5</t>
  </si>
  <si>
    <t>2.8.6</t>
  </si>
  <si>
    <t>2.9.1</t>
  </si>
  <si>
    <t>2.9.2</t>
  </si>
  <si>
    <t>2.9.3</t>
  </si>
  <si>
    <t>2.9.4</t>
  </si>
  <si>
    <t>2.9.5</t>
  </si>
  <si>
    <t>2.9.6</t>
  </si>
  <si>
    <t>2.10.1</t>
  </si>
  <si>
    <t>2.10.2</t>
  </si>
  <si>
    <t>2.10.3</t>
  </si>
  <si>
    <t>2.10.4</t>
  </si>
  <si>
    <t>2.10.5</t>
  </si>
  <si>
    <t>2.10.6</t>
  </si>
  <si>
    <t>2.11.1</t>
  </si>
  <si>
    <t>2.11.2</t>
  </si>
  <si>
    <t>2.11.3</t>
  </si>
  <si>
    <t>2.11.4</t>
  </si>
  <si>
    <t>2.11.5</t>
  </si>
  <si>
    <t>2.11.6</t>
  </si>
  <si>
    <t>2.12.1</t>
  </si>
  <si>
    <t>2.12.2</t>
  </si>
  <si>
    <t>2.12.3</t>
  </si>
  <si>
    <t>2.12.4</t>
  </si>
  <si>
    <t>2.12.5</t>
  </si>
  <si>
    <t>2.12.6</t>
  </si>
  <si>
    <t>2.13.1</t>
  </si>
  <si>
    <t>2.13.2</t>
  </si>
  <si>
    <t>2.13.3</t>
  </si>
  <si>
    <t>2.13.4</t>
  </si>
  <si>
    <t>2.13.5</t>
  </si>
  <si>
    <t>2.13.6</t>
  </si>
  <si>
    <r>
      <t>3</t>
    </r>
    <r>
      <rPr>
        <b/>
        <sz val="20"/>
        <color indexed="12"/>
        <rFont val="Arial"/>
        <family val="2"/>
      </rPr>
      <t xml:space="preserve">    TRANSPORTATION</t>
    </r>
  </si>
  <si>
    <t>3.1.6</t>
  </si>
  <si>
    <t>3.2.6</t>
  </si>
  <si>
    <t>3.5.6</t>
  </si>
  <si>
    <r>
      <t>4</t>
    </r>
    <r>
      <rPr>
        <b/>
        <sz val="20"/>
        <color indexed="12"/>
        <rFont val="Arial"/>
        <family val="2"/>
      </rPr>
      <t xml:space="preserve">    COLLABORATIVE AGREEMENTS</t>
    </r>
  </si>
  <si>
    <t>4.1.6</t>
  </si>
  <si>
    <r>
      <t>5</t>
    </r>
    <r>
      <rPr>
        <b/>
        <sz val="20"/>
        <color indexed="12"/>
        <rFont val="Arial"/>
        <family val="2"/>
      </rPr>
      <t xml:space="preserve">    OTHER CONSIDERATIONS</t>
    </r>
  </si>
  <si>
    <t>5.1.1</t>
  </si>
  <si>
    <t>5.1.2</t>
  </si>
  <si>
    <t>5.1.3</t>
  </si>
  <si>
    <t>5.1.4</t>
  </si>
  <si>
    <t>5.1.5</t>
  </si>
  <si>
    <t>5.2.1</t>
  </si>
  <si>
    <t>5.2.2</t>
  </si>
  <si>
    <t>5.2.3</t>
  </si>
  <si>
    <t>5.2.4</t>
  </si>
  <si>
    <t>5.2.5</t>
  </si>
  <si>
    <t>5.3.1</t>
  </si>
  <si>
    <t>5.3.2</t>
  </si>
  <si>
    <t>5.3.3</t>
  </si>
  <si>
    <t>5.3.4</t>
  </si>
  <si>
    <t>5.3.5</t>
  </si>
  <si>
    <t>5.4.1</t>
  </si>
  <si>
    <t>5.4.2</t>
  </si>
  <si>
    <t>5.4.3</t>
  </si>
  <si>
    <t>5.4.4</t>
  </si>
  <si>
    <t>5.4.5</t>
  </si>
  <si>
    <t>Yellow</t>
  </si>
  <si>
    <t>Red</t>
  </si>
  <si>
    <t>Black</t>
  </si>
  <si>
    <t>Ref</t>
  </si>
  <si>
    <t>Name</t>
  </si>
  <si>
    <t>Rating</t>
  </si>
  <si>
    <t>Recommendation</t>
  </si>
  <si>
    <t xml:space="preserve"> </t>
  </si>
  <si>
    <t>Weight</t>
  </si>
  <si>
    <t>Category</t>
  </si>
  <si>
    <t>PACKAGE RECOMMENDATION WEIGHT</t>
  </si>
  <si>
    <t>WC RECOMMENDATION WEIGHT</t>
  </si>
  <si>
    <t>Potential</t>
  </si>
  <si>
    <t>EXEMPLARY AQUATIC BEHAVIOR</t>
  </si>
  <si>
    <t>list31a</t>
  </si>
  <si>
    <t>&gt;2 saunas</t>
  </si>
  <si>
    <t>see comments</t>
  </si>
  <si>
    <t>location</t>
  </si>
  <si>
    <t>list26c -&gt;</t>
  </si>
  <si>
    <t>list27a</t>
  </si>
  <si>
    <t>visibility</t>
  </si>
  <si>
    <t>w/ adequate windows</t>
  </si>
  <si>
    <t>list29c</t>
  </si>
  <si>
    <t>a</t>
  </si>
  <si>
    <t>list19a</t>
  </si>
  <si>
    <t>entry devices</t>
  </si>
  <si>
    <t>glare potential</t>
  </si>
  <si>
    <t>list20a</t>
  </si>
  <si>
    <t>Spas</t>
  </si>
  <si>
    <t>NO SPAs</t>
  </si>
  <si>
    <t>1 spa</t>
  </si>
  <si>
    <t>2 spas</t>
  </si>
  <si>
    <t>&gt;2 spas</t>
  </si>
  <si>
    <t>list25a</t>
  </si>
  <si>
    <t>included in lifeguard's 10/10</t>
  </si>
  <si>
    <t>documented 15 minute or less</t>
  </si>
  <si>
    <t>documented 30 minute or less</t>
  </si>
  <si>
    <t>undocumented 30 min. or less</t>
  </si>
  <si>
    <t>other schedule (see comments)</t>
  </si>
  <si>
    <t>not monitored / no set schedule</t>
  </si>
  <si>
    <t>in locker room</t>
  </si>
  <si>
    <t>NO STEAM</t>
  </si>
  <si>
    <t>1 steam</t>
  </si>
  <si>
    <t>2 steam</t>
  </si>
  <si>
    <t>&gt;2 steam</t>
  </si>
  <si>
    <t>steam room</t>
  </si>
  <si>
    <t>list33a</t>
  </si>
  <si>
    <t>Steam room</t>
  </si>
  <si>
    <t>documented 15 min. monitoring</t>
  </si>
  <si>
    <t>documented 30 min. monitoring</t>
  </si>
  <si>
    <t>undocumented 30 min. monitoring</t>
  </si>
  <si>
    <t>monitored in guard's 10/10 scan</t>
  </si>
  <si>
    <t>&gt; 2" ceramic</t>
  </si>
  <si>
    <t>concrete</t>
  </si>
  <si>
    <t>sheet goods</t>
  </si>
  <si>
    <t>carpet</t>
  </si>
  <si>
    <t>1" - 2" ceramic</t>
  </si>
  <si>
    <t>list49</t>
  </si>
  <si>
    <t>floor surface</t>
  </si>
  <si>
    <t>list5a</t>
  </si>
  <si>
    <t>list6a</t>
  </si>
  <si>
    <t>multiple basements</t>
  </si>
  <si>
    <t>OT - Other (see comments)</t>
  </si>
  <si>
    <t>PC - Program Center (office)</t>
  </si>
  <si>
    <t>Private Water Supply</t>
  </si>
  <si>
    <t>Public Water Supply</t>
  </si>
  <si>
    <t>list 9a</t>
  </si>
  <si>
    <t>Public Tanker only</t>
  </si>
  <si>
    <t>Private Water / Private Tanker</t>
  </si>
  <si>
    <t>Private Water / Public Tanker</t>
  </si>
  <si>
    <t>non-sprinklered structure</t>
  </si>
  <si>
    <t>wet-pipe sprinkler system</t>
  </si>
  <si>
    <t>dry-pipe sprinkler system</t>
  </si>
  <si>
    <t>other sprinkler system</t>
  </si>
  <si>
    <t>list10c</t>
  </si>
  <si>
    <t>sprinkler alarm</t>
  </si>
  <si>
    <t>local alarm</t>
  </si>
  <si>
    <t>off-site alarm</t>
  </si>
  <si>
    <t xml:space="preserve">            AS or NS</t>
  </si>
  <si>
    <t>list12b</t>
  </si>
  <si>
    <t xml:space="preserve">            Water Supply</t>
  </si>
  <si>
    <t>other crime alarm</t>
  </si>
  <si>
    <t>list13a</t>
  </si>
  <si>
    <t>offsite full manual alarm</t>
  </si>
  <si>
    <t>local full manual alarm</t>
  </si>
  <si>
    <t>list14a</t>
  </si>
  <si>
    <t>halon system</t>
  </si>
  <si>
    <t>other suppression</t>
  </si>
  <si>
    <t>complete offsite AFA</t>
  </si>
  <si>
    <t xml:space="preserve">complete local AFA </t>
  </si>
  <si>
    <t>partial offsite AFA</t>
  </si>
  <si>
    <t>partial local AFA</t>
  </si>
  <si>
    <t>no automatic fire alarm</t>
  </si>
  <si>
    <t xml:space="preserve">   automatic fire alarm</t>
  </si>
  <si>
    <t>no suppression</t>
  </si>
  <si>
    <t>liquid/foam system</t>
  </si>
  <si>
    <t>dry chem system</t>
  </si>
  <si>
    <t>CO2 system</t>
  </si>
  <si>
    <t>offsite part'l man'l alarm</t>
  </si>
  <si>
    <t>local part'l man'l alarm</t>
  </si>
  <si>
    <t xml:space="preserve">     manual fire alarm</t>
  </si>
  <si>
    <t xml:space="preserve">         crime alarm</t>
  </si>
  <si>
    <t>perimeter local alarm</t>
  </si>
  <si>
    <t>interior offsite alarm</t>
  </si>
  <si>
    <t>interior local alarm</t>
  </si>
  <si>
    <t>full local burglar alarm</t>
  </si>
  <si>
    <t xml:space="preserve">              construction type</t>
  </si>
  <si>
    <t xml:space="preserve">    basement type</t>
  </si>
  <si>
    <t xml:space="preserve">           presence / location</t>
  </si>
  <si>
    <t xml:space="preserve">        presence / location</t>
  </si>
  <si>
    <t>RTW &amp; LIGHT DUTY</t>
  </si>
  <si>
    <t xml:space="preserve">  PPE</t>
  </si>
  <si>
    <t>DRUG-FREE WORKPLACE</t>
  </si>
  <si>
    <t xml:space="preserve">  chemical storage</t>
  </si>
  <si>
    <t xml:space="preserve">  respirators</t>
  </si>
  <si>
    <t>MEDICAL CARE PROVIDER</t>
  </si>
  <si>
    <t xml:space="preserve">  confined spaces</t>
  </si>
  <si>
    <t>VEHICLES &amp; MACHINERY</t>
  </si>
  <si>
    <t xml:space="preserve">  servicing</t>
  </si>
  <si>
    <t>ORIENTATION &amp; JOB</t>
  </si>
  <si>
    <t xml:space="preserve">  transporting of employees</t>
  </si>
  <si>
    <t>LIFTING</t>
  </si>
  <si>
    <t xml:space="preserve">  regular use of vehicles</t>
  </si>
  <si>
    <t>HAZARD COMMUNICATION</t>
  </si>
  <si>
    <t xml:space="preserve">  operator ages</t>
  </si>
  <si>
    <t>BLOOD-BORNE PATHOGEN</t>
  </si>
  <si>
    <t xml:space="preserve">  operator training</t>
  </si>
  <si>
    <t>FIRST-AID / CPR</t>
  </si>
  <si>
    <t xml:space="preserve">  condition</t>
  </si>
  <si>
    <t>REPETITIVE MOTION</t>
  </si>
  <si>
    <t>REPORTING</t>
  </si>
  <si>
    <t>INTERNAL</t>
  </si>
  <si>
    <t xml:space="preserve">  work station</t>
  </si>
  <si>
    <t>EXTERNAL</t>
  </si>
  <si>
    <t xml:space="preserve">  chairs</t>
  </si>
  <si>
    <t>ACCIDENT INVESTIGATING</t>
  </si>
  <si>
    <t xml:space="preserve">  computers</t>
  </si>
  <si>
    <t>PREMISES</t>
  </si>
  <si>
    <t xml:space="preserve">  contracted program staff</t>
  </si>
  <si>
    <t xml:space="preserve">  other contractors</t>
  </si>
  <si>
    <t xml:space="preserve">  volunteer pay</t>
  </si>
  <si>
    <t xml:space="preserve">  volunteer accident &amp; health ins</t>
  </si>
  <si>
    <t>LGs</t>
  </si>
  <si>
    <t>PTs</t>
  </si>
  <si>
    <t>Aerob. I</t>
  </si>
  <si>
    <t>Other I</t>
  </si>
  <si>
    <t>Cust Ser</t>
  </si>
  <si>
    <t>Field Trip</t>
  </si>
  <si>
    <t>CW</t>
  </si>
  <si>
    <t>CC/SA</t>
  </si>
  <si>
    <t>Playgrnd</t>
  </si>
  <si>
    <t>RC couns</t>
  </si>
  <si>
    <t>RC other</t>
  </si>
  <si>
    <t>DC couns</t>
  </si>
  <si>
    <t>Refs</t>
  </si>
  <si>
    <t xml:space="preserve">  volunteer areas of use</t>
  </si>
  <si>
    <t>E&amp;C status</t>
  </si>
  <si>
    <t>MC status</t>
  </si>
  <si>
    <t>T status</t>
  </si>
  <si>
    <t>R status</t>
  </si>
  <si>
    <t>CAMP OPERATIONS &amp; SIM. EXP.</t>
  </si>
  <si>
    <t xml:space="preserve">  training</t>
  </si>
  <si>
    <t xml:space="preserve">  cooking</t>
  </si>
  <si>
    <t xml:space="preserve">  archery</t>
  </si>
  <si>
    <t xml:space="preserve">  rifle ranges</t>
  </si>
  <si>
    <t xml:space="preserve">  saddle animals</t>
  </si>
  <si>
    <t xml:space="preserve">  adventure programming</t>
  </si>
  <si>
    <t>ACCIDENT</t>
  </si>
  <si>
    <t>FA</t>
  </si>
  <si>
    <t>BBP</t>
  </si>
  <si>
    <t>HC</t>
  </si>
  <si>
    <t>L</t>
  </si>
  <si>
    <t>OJ</t>
  </si>
  <si>
    <t>MCP</t>
  </si>
  <si>
    <t>SP</t>
  </si>
  <si>
    <t>DFW</t>
  </si>
  <si>
    <t>RTW</t>
  </si>
  <si>
    <t>CBC</t>
  </si>
  <si>
    <t>APP</t>
  </si>
  <si>
    <t>ADDRESS</t>
  </si>
  <si>
    <t>CITY-ST-ZIP</t>
  </si>
  <si>
    <t>WEB SITE</t>
  </si>
  <si>
    <t>TITLE</t>
  </si>
  <si>
    <t>OVERALL</t>
  </si>
  <si>
    <t xml:space="preserve">RM  </t>
  </si>
  <si>
    <t>max.</t>
  </si>
  <si>
    <t>RED FLAG</t>
  </si>
  <si>
    <t>DIAMOND MEDAL</t>
  </si>
  <si>
    <t>PLATINUM MEDAL</t>
  </si>
  <si>
    <t>GOLD MEDAL</t>
  </si>
  <si>
    <t>YELLOW FLAG</t>
  </si>
  <si>
    <t>BLACK FLAG</t>
  </si>
  <si>
    <t>section</t>
  </si>
  <si>
    <t>disqualified because of any black flag (failure to meet a minimum standard):</t>
  </si>
  <si>
    <r>
      <t xml:space="preserve">TRAINING </t>
    </r>
    <r>
      <rPr>
        <sz val="9"/>
        <rFont val="Arial"/>
        <family val="2"/>
      </rPr>
      <t>(REFERS TO PREVENTATIVE TRAINING, NOT "HOW TO SPOT ABUSED KIDS" OR  "HOW TO REPORT")</t>
    </r>
  </si>
  <si>
    <t>- - - - - - - - - - - - - - -  grading  - - - - - - - - - - - - - - - - -</t>
  </si>
  <si>
    <t>%</t>
  </si>
  <si>
    <t>proposed</t>
  </si>
  <si>
    <t>in progress</t>
  </si>
  <si>
    <t>completed</t>
  </si>
  <si>
    <t>abandoned</t>
  </si>
  <si>
    <t>ON-SITE CHILDCARE?</t>
  </si>
  <si>
    <t>yes</t>
  </si>
  <si>
    <t>no</t>
  </si>
  <si>
    <t>on-site only</t>
  </si>
  <si>
    <t>off-site only</t>
  </si>
  <si>
    <t>OFF-SITE CHILDCARE?</t>
  </si>
  <si>
    <t>ON-SITE B/A?</t>
  </si>
  <si>
    <t>OFF-SITE B/A?</t>
  </si>
  <si>
    <t>none</t>
  </si>
  <si>
    <t>leased</t>
  </si>
  <si>
    <t>send to others</t>
  </si>
  <si>
    <t>RESIDENT CAMP?</t>
  </si>
  <si>
    <t>DAY CAMP?</t>
  </si>
  <si>
    <t>RESIDENT FACILITIES?</t>
  </si>
  <si>
    <t>OTHER CONSIDERATIONS?</t>
  </si>
  <si>
    <t>WF / BV - wood frame or brick veneer</t>
  </si>
  <si>
    <t>JM - joisted masonry</t>
  </si>
  <si>
    <t>MNC - masonry noncombustible</t>
  </si>
  <si>
    <t>MFR - modified fire resistive</t>
  </si>
  <si>
    <t xml:space="preserve">FR - fire resistive </t>
  </si>
  <si>
    <t xml:space="preserve">NC - noncombustible </t>
  </si>
  <si>
    <t>no basement</t>
  </si>
  <si>
    <t>partial basement</t>
  </si>
  <si>
    <t>full basement</t>
  </si>
  <si>
    <t>daylight basement</t>
  </si>
  <si>
    <t>VA - Vacant Lot</t>
  </si>
  <si>
    <t>TC - Tennis Center</t>
  </si>
  <si>
    <t>RC - Resident Camp</t>
  </si>
  <si>
    <t>GO TO OTHER</t>
  </si>
  <si>
    <t>SAUNAS</t>
  </si>
  <si>
    <t>oxygen at pool or with AED</t>
  </si>
  <si>
    <t>multiple oxygen - pool / other</t>
  </si>
  <si>
    <t>at least one AED in building</t>
  </si>
  <si>
    <t>multiple AEDs, including pool area</t>
  </si>
  <si>
    <t>list23a</t>
  </si>
  <si>
    <t>list24a</t>
  </si>
  <si>
    <t>number</t>
  </si>
  <si>
    <t>NO SAUNAs</t>
  </si>
  <si>
    <t>1 sauna</t>
  </si>
  <si>
    <t>2 saunas</t>
  </si>
  <si>
    <t>Documented reference checks should be conducted for all applicants seeking employment in child-serving positions. Preferably this would include two non-family and one immediate family reference.</t>
  </si>
  <si>
    <t>Criminal Background checks from all jurisdictions in which the applicant has lived or worked in the last five years should be obtained for all paid staff positions.</t>
  </si>
  <si>
    <t>1.1.2</t>
  </si>
  <si>
    <t>1.1.3</t>
  </si>
  <si>
    <t>1.1.4</t>
  </si>
  <si>
    <t>1.1.5</t>
  </si>
  <si>
    <t>1.1.6</t>
  </si>
  <si>
    <t xml:space="preserve">HAZARDOUS CHEMICALS, MATERIALS, &amp; SPACES </t>
  </si>
  <si>
    <t>1.2.1</t>
  </si>
  <si>
    <t>1.2.2</t>
  </si>
  <si>
    <t>1.2.3</t>
  </si>
  <si>
    <t>1.2.4</t>
  </si>
  <si>
    <t>1.2.5</t>
  </si>
  <si>
    <t>1.2.6</t>
  </si>
  <si>
    <t>1.2.7</t>
  </si>
  <si>
    <t>VEHICLES, MACHINERY &amp; EQUIPMENT</t>
  </si>
  <si>
    <t>1.3.1</t>
  </si>
  <si>
    <t>1.3.2</t>
  </si>
  <si>
    <t>1.3.3</t>
  </si>
  <si>
    <t>1.3.4</t>
  </si>
  <si>
    <t>1.3.5</t>
  </si>
  <si>
    <t>1.3.6</t>
  </si>
  <si>
    <t>1.3.7</t>
  </si>
  <si>
    <t>REPETITIVE MOTION / ERGONOMICS</t>
  </si>
  <si>
    <t>1.4.1</t>
  </si>
  <si>
    <t>1.4.2</t>
  </si>
  <si>
    <t>1.4.3</t>
  </si>
  <si>
    <r>
      <t>NON-EMPLOYEES -</t>
    </r>
    <r>
      <rPr>
        <sz val="10"/>
        <rFont val="Arial"/>
      </rPr>
      <t xml:space="preserve"> e.g. INDEPENDENT CONTRACTORS &amp; VOLUNTEERS</t>
    </r>
  </si>
  <si>
    <t>1.5.1</t>
  </si>
  <si>
    <t>1.5.2</t>
  </si>
  <si>
    <t>1.5.3</t>
  </si>
  <si>
    <t>1.5.4</t>
  </si>
  <si>
    <t>1.5.5</t>
  </si>
  <si>
    <t>Child Watch</t>
  </si>
  <si>
    <t>Childcare / School-aged care</t>
  </si>
  <si>
    <t>Playground monitors</t>
  </si>
  <si>
    <t>1.5.6</t>
  </si>
  <si>
    <t>Resident Camp Counselors</t>
  </si>
  <si>
    <t>Resident Camp - other (detail below)</t>
  </si>
  <si>
    <t>Day Camp counselors</t>
  </si>
  <si>
    <t>1.5.7</t>
  </si>
  <si>
    <t>Youth Sports Coaches</t>
  </si>
  <si>
    <t>Referees / Umpires</t>
  </si>
  <si>
    <t>Lifeguards / Pool monitors</t>
  </si>
  <si>
    <t>1.5.8</t>
  </si>
  <si>
    <t>Personal trainers</t>
  </si>
  <si>
    <t>Other class instructors</t>
  </si>
  <si>
    <t>1.5.9</t>
  </si>
  <si>
    <t>Clerical functions</t>
  </si>
  <si>
    <t>Customer Service / Front Desk</t>
  </si>
  <si>
    <t>Field trip or sports drivers</t>
  </si>
  <si>
    <r>
      <t>CAMP OPERATIONS</t>
    </r>
    <r>
      <rPr>
        <sz val="11"/>
        <rFont val="Arial"/>
        <family val="2"/>
      </rPr>
      <t xml:space="preserve"> </t>
    </r>
    <r>
      <rPr>
        <b/>
        <sz val="11"/>
        <rFont val="Arial"/>
        <family val="2"/>
      </rPr>
      <t>&amp; SIMILAR EXPOSURES</t>
    </r>
    <r>
      <rPr>
        <sz val="9"/>
        <rFont val="Arial"/>
        <family val="2"/>
      </rPr>
      <t xml:space="preserve"> - includes day, resident, &amp; special</t>
    </r>
  </si>
  <si>
    <t xml:space="preserve">OVERVIEW: </t>
  </si>
  <si>
    <t>1.6.1</t>
  </si>
  <si>
    <t>Gold</t>
  </si>
  <si>
    <t>select</t>
  </si>
  <si>
    <t>list1c-&gt;</t>
  </si>
  <si>
    <t>4.3</t>
  </si>
  <si>
    <t>list32</t>
  </si>
  <si>
    <t>documented sweep sheets - frequent and irregular</t>
  </si>
  <si>
    <t>no documented locker room visits</t>
  </si>
  <si>
    <t>all lockers properly anchored</t>
  </si>
  <si>
    <t>not all lockers properly anchored</t>
  </si>
  <si>
    <t>list34</t>
  </si>
  <si>
    <t>list35</t>
  </si>
  <si>
    <t>documented sweep sheets - don't meet our criteria</t>
  </si>
  <si>
    <t>GO TO ABUSE PREVENTION</t>
  </si>
  <si>
    <t>GO TO AQUATIC SAFETY</t>
  </si>
  <si>
    <t>GO TO TRANSPORTATION SAFETY</t>
  </si>
  <si>
    <t>GO TO COLLABORATIVE AGREEMENTS</t>
  </si>
  <si>
    <t>GO TO TOP</t>
  </si>
  <si>
    <t>UP ONE SECTION</t>
  </si>
  <si>
    <t>DOWN ONE SECTION</t>
  </si>
  <si>
    <t>list36</t>
  </si>
  <si>
    <t>list15a</t>
  </si>
  <si>
    <t>list29b</t>
  </si>
  <si>
    <t>ABUSE PREVENTION</t>
  </si>
  <si>
    <t>COMMENTS</t>
  </si>
  <si>
    <t>Rec</t>
  </si>
  <si>
    <t>value</t>
  </si>
  <si>
    <t>validity</t>
  </si>
  <si>
    <t>weight</t>
  </si>
  <si>
    <t>REFERENCE CHECKS</t>
  </si>
  <si>
    <t>REFERENCES</t>
  </si>
  <si>
    <t>CBCs</t>
  </si>
  <si>
    <t>TRAINING</t>
  </si>
  <si>
    <t>FEEDBACK</t>
  </si>
  <si>
    <t>FACILITY SECURITY</t>
  </si>
  <si>
    <t>FACILITY PHYSICAL</t>
  </si>
  <si>
    <t>CHILDREN IN BLDG</t>
  </si>
  <si>
    <t>CHILDCARE PROTOCOLS</t>
  </si>
  <si>
    <t>TRANSPORTATION</t>
  </si>
  <si>
    <t>AQUATIC SAFETY</t>
  </si>
  <si>
    <t>POOL GUARDING</t>
  </si>
  <si>
    <t>LG PREPAREDNESS</t>
  </si>
  <si>
    <t>LG CONDUCT</t>
  </si>
  <si>
    <t>SCANNING</t>
  </si>
  <si>
    <t>SWIMMER TESTING</t>
  </si>
  <si>
    <t>LG ROTATION</t>
  </si>
  <si>
    <t>EMERGENCY RESPONSE</t>
  </si>
  <si>
    <t>AED</t>
  </si>
  <si>
    <t>AUDITS</t>
  </si>
  <si>
    <t>IN-SERVICE</t>
  </si>
  <si>
    <t>POOL CHARACTERISTICS</t>
  </si>
  <si>
    <t>LG HIRING PRACTICES</t>
  </si>
  <si>
    <t>AQUATIC MGMT</t>
  </si>
  <si>
    <t>DRIVER EXPERIENCE</t>
  </si>
  <si>
    <t>DRIVER TRAINING</t>
  </si>
  <si>
    <t>DRUG TESTING</t>
  </si>
  <si>
    <t>PERSONAL VEHICLES</t>
  </si>
  <si>
    <t>VEHICLE TYPE</t>
  </si>
  <si>
    <t>MAINTENANCE</t>
  </si>
  <si>
    <t>COLLABORATIONS</t>
  </si>
  <si>
    <t>WAIVERS</t>
  </si>
  <si>
    <t>CONTRACTS</t>
  </si>
  <si>
    <t>CRIMINAL BACKGROUND CHECKS</t>
  </si>
  <si>
    <r>
      <t xml:space="preserve">ABUSE PREVENTION FEEDBACK </t>
    </r>
    <r>
      <rPr>
        <sz val="9"/>
        <rFont val="Arial"/>
        <family val="2"/>
      </rPr>
      <t xml:space="preserve">(PARENTAL &amp; PARTICIPANT) </t>
    </r>
    <r>
      <rPr>
        <i/>
        <sz val="8"/>
        <rFont val="Arial"/>
        <family val="2"/>
      </rPr>
      <t xml:space="preserve">…not </t>
    </r>
    <r>
      <rPr>
        <i/>
        <u/>
        <sz val="8"/>
        <rFont val="Arial"/>
        <family val="2"/>
      </rPr>
      <t>satisfaction</t>
    </r>
    <r>
      <rPr>
        <i/>
        <sz val="8"/>
        <rFont val="Arial"/>
        <family val="2"/>
      </rPr>
      <t xml:space="preserve"> feedback</t>
    </r>
  </si>
  <si>
    <t>FACILITY - SECURITY &amp; ACCESS</t>
  </si>
  <si>
    <t>FACILITY - PHYSICAL ATTRIBUTES &amp; CONTROLS</t>
  </si>
  <si>
    <t>CHILDREN IN THE BUILDING UNACCOMPANIED BY A PARENT</t>
  </si>
  <si>
    <t>Any binding agreements should be in writing and all such contracts should be previewed by the manager of the branch involved.</t>
  </si>
  <si>
    <t>Emergency oxygen should be maintained on all pool decks and all aquatic staff members should receive certification in emergency oxygen administration.</t>
  </si>
  <si>
    <t xml:space="preserve">An AED should be maintained in a central, clearly identified, easily accessible location in the facility. A documented record should be maintained to verify appropriate, timely, routine maintenance. </t>
  </si>
  <si>
    <t>A written, signed drug-free workplace policy that includes DOT-compatible testing of any CDL drivers should be implemented. A sample policy is enclosed.</t>
  </si>
  <si>
    <t>Yellow-alt</t>
  </si>
  <si>
    <t>Red-alt</t>
  </si>
  <si>
    <t>All adult guests should be required to sign a waiver / release of rights / covenant not to sue document; their identities should be verified using government or school issued ID.</t>
  </si>
  <si>
    <t>All adult guests should be required to sign assumption of risk and informed consent agreements; their identities should be verified using government or school issued photo ID.</t>
  </si>
  <si>
    <t>People should only be transported in full-sized or mini-school buses, mini-vans, or cars regardless of who owns the vehicle (i.e., whether it is owned, leased, rented, or borrowed); mini-buses without dual rear wheels on each side of the vehicle should only be used at speeds of  45 mph or slower.</t>
  </si>
  <si>
    <t>Documented service that meets manufacturer’s guidelines and applicable statutes plus safety inspections that meet all applicable statutes (e.g., annual safety check) should be implemented.</t>
  </si>
  <si>
    <t>An Aquatic Quick Check card or some other documented reporting system be implemented to provide feedback on guards' behavior.</t>
  </si>
  <si>
    <t>Lifeguards should be required to participate in at least two hours of documented in-service training each month that the pool is open. An established training plan should be set for the year, but additional topics can be inserted as needed.</t>
  </si>
  <si>
    <t>GO TO CLAIMS</t>
  </si>
  <si>
    <t>4.1.4a</t>
  </si>
  <si>
    <t>4.1.5a</t>
  </si>
  <si>
    <t>RTW / LD</t>
  </si>
  <si>
    <t>DFWP</t>
  </si>
  <si>
    <t>ORIENTATION / JOB</t>
  </si>
  <si>
    <t>HAZ COM</t>
  </si>
  <si>
    <t>FA / CPR</t>
  </si>
  <si>
    <t>INTERNAL ACCIDENT</t>
  </si>
  <si>
    <t>EXTERNAL LOSS</t>
  </si>
  <si>
    <t>ACCIDENT INVESTIGAGION</t>
  </si>
  <si>
    <t>PREMISES / EQUIPMENT</t>
  </si>
  <si>
    <t xml:space="preserve">True   False    N A    </t>
  </si>
  <si>
    <t>illumination levels</t>
  </si>
  <si>
    <t>clean, dry floors</t>
  </si>
  <si>
    <t>wet floor protocols</t>
  </si>
  <si>
    <t>stair protocols</t>
  </si>
  <si>
    <t>ladder protocols</t>
  </si>
  <si>
    <t>storage areas</t>
  </si>
  <si>
    <t>flammables</t>
  </si>
  <si>
    <t>compressed gases</t>
  </si>
  <si>
    <t>chemical storage</t>
  </si>
  <si>
    <t>respirators</t>
  </si>
  <si>
    <t>confined space entry</t>
  </si>
  <si>
    <t>vehicle maintenance</t>
  </si>
  <si>
    <t>transportation</t>
  </si>
  <si>
    <t>appropriate ages</t>
  </si>
  <si>
    <t>training - power/mechanical</t>
  </si>
  <si>
    <t>power tools</t>
  </si>
  <si>
    <t>ppe - equipment</t>
  </si>
  <si>
    <t>ppe - chemicals</t>
  </si>
  <si>
    <t>workstation design</t>
  </si>
  <si>
    <t>chairs</t>
  </si>
  <si>
    <t>computer stations</t>
  </si>
  <si>
    <t>contracted program staff</t>
  </si>
  <si>
    <t>independent contractors</t>
  </si>
  <si>
    <t>1.6.2.1</t>
  </si>
  <si>
    <t>boilers</t>
  </si>
  <si>
    <t>armed employees</t>
  </si>
  <si>
    <t>boating exposures</t>
  </si>
  <si>
    <t>logging</t>
  </si>
  <si>
    <t>roof</t>
  </si>
  <si>
    <t>skate park</t>
  </si>
  <si>
    <t>adventure programming</t>
  </si>
  <si>
    <t>saddle animals</t>
  </si>
  <si>
    <t>rifle</t>
  </si>
  <si>
    <t>archery</t>
  </si>
  <si>
    <t>deep fat, etc.</t>
  </si>
  <si>
    <t>cooking</t>
  </si>
  <si>
    <t>camp training</t>
  </si>
  <si>
    <t>1.6</t>
  </si>
  <si>
    <t xml:space="preserve">  deep fat</t>
  </si>
  <si>
    <t>Coaches</t>
  </si>
  <si>
    <r>
      <t xml:space="preserve">   Program volunteers are used in the areas marked below - provide specifics in </t>
    </r>
    <r>
      <rPr>
        <sz val="9"/>
        <rFont val="Arial"/>
        <family val="2"/>
      </rPr>
      <t>COMMENTS</t>
    </r>
  </si>
  <si>
    <t>Storage areas should be kept neat and orderly; upper shelves should be reserved only for lighter items.</t>
  </si>
  <si>
    <t>Acids and alkalis should be labeled and appropriately stored so that there is no potential for reaction.</t>
  </si>
  <si>
    <t>acids / alkalis</t>
  </si>
  <si>
    <t>Chemical storage should be arranged so that there is no potential for accidental contact of reactionary materials.</t>
  </si>
  <si>
    <t>Archery ranges should be established so there is no danger to anyone outside the range from errant arrows. Equipment should be kept under lock and key whenever not being actively used and only archery range staff and management should have keys. Staff should be specifically trained in archery safety and archery programming for children.</t>
  </si>
  <si>
    <t>Knife storage and use should be properly controlled. HERE IS WHERE ANY OTHER KITCHEN-RELATED RECOMMENDATION (EXCEPT 1.6.2.1) BELONGS - GREASE CLEAN-UP, RESILIENT FLOOR MATS, BURN PROTECTION, ETC.</t>
  </si>
  <si>
    <t>The care or grooming of saddle animals should done only by qualified trained staff. IF INAPPROPRIATE CONTROLS WERE NOTED HERE IS WHERE SPECIFIC RECOMMENDATIONS ARE MADE TO CORRECT THEM.</t>
  </si>
  <si>
    <t xml:space="preserve">Paid and volunteer camp staff should be given training in their specific duties (kitchen, grounds, programming, waterfront, etc.) in addition to normal YMCA training prior to beginning duties. </t>
  </si>
  <si>
    <t xml:space="preserve">Illumination levels in service and work areas should be improved. </t>
  </si>
  <si>
    <t xml:space="preserve">Floors that are frequently wet should be properly sloped and have proper drains to remove standing water. </t>
  </si>
  <si>
    <t xml:space="preserve">Any stairs with three or more risers should have anti-slip treads and appropriate handrails. </t>
  </si>
  <si>
    <t xml:space="preserve">Ladders that have been painted (or have significant paint on them) or are cracked should be replaced; those with loose or broken components should be repaired or replaced. </t>
  </si>
  <si>
    <t xml:space="preserve">Flammable and combustible liquids should be appropriately stored - preferably in a metal, locked, vented cabinet or in an exterior storage shed. </t>
  </si>
  <si>
    <t xml:space="preserve">Compressed gas cylinders should be properly labeled, have safety caps in place, and be secured from tip/fall; fuel gases and oxidizers should be separated as required by code. </t>
  </si>
  <si>
    <t xml:space="preserve">Personal protective gear (gloves, apron, goggles, face shield, respirator if necessary) should be readily available and in good condition, emergency eye wash and shower should be available within 10’ of the exposure source without intervening doors or other potential barriers. </t>
  </si>
  <si>
    <t xml:space="preserve">Respirators should be provided and used. All applicable staff and program volunteers should be trained and fitted and documentation should be maintained. </t>
  </si>
  <si>
    <t xml:space="preserve">Any confined space should be identified and labeled; appropriate confined space entry protocols should be developed, trained, implemented, and documented. </t>
  </si>
  <si>
    <t xml:space="preserve">All vehicles should receive regular documented maintenance that meets or exceeds the manufacturer’s recommendation. </t>
  </si>
  <si>
    <t xml:space="preserve">Employees who use vehicles, machinery, equipment, or power tools should be at least 18 years old. </t>
  </si>
  <si>
    <t xml:space="preserve">Employees should receive training before driving vehicles that transport people, or operating machinery, equipment, or power tools. </t>
  </si>
  <si>
    <t xml:space="preserve">Power tools should be maintained in good repair (no damaged cords or hoses; guards in place, undamaged and unaltered; grounding intact, etc.). </t>
  </si>
  <si>
    <t xml:space="preserve">Office workstations should be appropriate for the task intended; their design and layout should match the employees who use them. </t>
  </si>
  <si>
    <t xml:space="preserve">Workstation chairs should be appropriate for the tasks performed. </t>
  </si>
  <si>
    <t xml:space="preserve">Computer stations should have a reduced-height-keyboard-level and wrist pads or keyboards with hand rests. </t>
  </si>
  <si>
    <t xml:space="preserve">Contracted program staff should be required to provide certificates of insurance and should be given 1099 forms. </t>
  </si>
  <si>
    <t xml:space="preserve">Rifle, bb-gun, and pellet gun ranges should be established so there is no danger to anyone outside the range from shots. Equipment should be kept under lock and key whenever not being actively used; guns and ammunition should be stored in separate locations with only rifle range staff and management having keys. Staff should be specifically trained in rifle safety and rifle-range programming for children. </t>
  </si>
  <si>
    <t xml:space="preserve">IDENTIFY THE ADVENTURE PROGRAM AND ISSUE SPECIFIC RECOMMENDATION(S) TO CORRECT ANY NOTED INADEQUACY. </t>
  </si>
  <si>
    <t xml:space="preserve">Skate park staff should be only experienced skaters; they should neither participate with skaters nor skate recreationally when on duty; they should wear the appropriate safety equipment whenever they are on skates. </t>
  </si>
  <si>
    <t xml:space="preserve">Roof installation or repair should be done only by qualified employees; proper controls (e.g., ppe, attire, fall protection, etc. - MUST SPECIFY) should be utilized. </t>
  </si>
  <si>
    <t xml:space="preserve">Logging, tree cutting, and brush clearing activities should be done only by trained staff using proper equipment and PPE. </t>
  </si>
  <si>
    <t xml:space="preserve">Boating on ocean or other navigable waters should be conducted only by appropriately licensed personnel; boats should well maintained and proper controls should be used. </t>
  </si>
  <si>
    <t xml:space="preserve">Post-adjudication detention facility and armed guard staff should receive specialized training and licensing; appropriate protocols should be followed. </t>
  </si>
  <si>
    <t xml:space="preserve">All boiler or pressure vessel servicing and repair should be contracted to properly trained and licensed outside professionals. </t>
  </si>
  <si>
    <t>Formal orientation and job training should be implemented for all positions.</t>
  </si>
  <si>
    <t xml:space="preserve">A written, signed application should be required for all paid staff positions that includes previous employer contact. </t>
  </si>
  <si>
    <t xml:space="preserve">CBCs should be required from all jurisdictions in which the applicant has lived or worked for the last five years for all paid staff positions. </t>
  </si>
  <si>
    <t xml:space="preserve">A formal written RTW / LD program should be developed and made part of the safety and/or employee manual. </t>
  </si>
  <si>
    <t xml:space="preserve">A formal written drug free workplace program that includes DOT-compatible testing of any CDL drivers should be implemented. </t>
  </si>
  <si>
    <t xml:space="preserve">A written statement should be published and posted designating to which health care providers injured employees should go for medical treatment if injured on the job; if necessary, it is permissible for the nearest provider to be more than 5 miles away. </t>
  </si>
  <si>
    <t xml:space="preserve">A uniform protocol should be implemented that requires all accidents to be reported to the supervisor within 24 hours. </t>
  </si>
  <si>
    <t xml:space="preserve">Accident investigations and reports should be completed for all injuries. </t>
  </si>
  <si>
    <t xml:space="preserve">Notification of accidents should be reported to your insurance provider within two days of the event - within 24 hours if it involves death or multiple victims. </t>
  </si>
  <si>
    <t/>
  </si>
  <si>
    <t xml:space="preserve">Personal protective equipment (goggles, faces shields, hard hats, gloves, etc.) should be available and properly maintained. </t>
  </si>
  <si>
    <t>BLOOD-BORNE PATHOGEN TRAINING</t>
  </si>
  <si>
    <t>1.1</t>
  </si>
  <si>
    <t>1.2</t>
  </si>
  <si>
    <t>1.3</t>
  </si>
  <si>
    <t>1.4</t>
  </si>
  <si>
    <t>1.5</t>
  </si>
  <si>
    <t>1.7</t>
  </si>
  <si>
    <t>2.1</t>
  </si>
  <si>
    <t>2.2</t>
  </si>
  <si>
    <t>2.3</t>
  </si>
  <si>
    <t>2.4</t>
  </si>
  <si>
    <t>2.5</t>
  </si>
  <si>
    <t>2.6</t>
  </si>
  <si>
    <t>3.1</t>
  </si>
  <si>
    <t>3.2</t>
  </si>
  <si>
    <t>3.3</t>
  </si>
  <si>
    <t>3.4</t>
  </si>
  <si>
    <t>3.5</t>
  </si>
  <si>
    <t>4.1</t>
  </si>
  <si>
    <t>4.2</t>
  </si>
  <si>
    <t>4.4</t>
  </si>
  <si>
    <t>5.1</t>
  </si>
  <si>
    <t>5.2</t>
  </si>
  <si>
    <t>Aerobic / Fitness / Martial Arts instructors</t>
  </si>
  <si>
    <t>GO TO FACILITY LIST</t>
  </si>
  <si>
    <t>FIRE EXTINGUISHERS</t>
  </si>
  <si>
    <t>FIRE SPRINKLERS</t>
  </si>
  <si>
    <t>WILD FIRE POTENTIAL</t>
  </si>
  <si>
    <t>FIRE RESPONDER</t>
  </si>
  <si>
    <t>WATER SUPPLY</t>
  </si>
  <si>
    <t>FIRE PROTECTION</t>
  </si>
  <si>
    <t>SLEEPING QUARTERS</t>
  </si>
  <si>
    <t>GENERAL DESCRIPTION</t>
  </si>
  <si>
    <t>ASSEMBLY / DINING</t>
  </si>
  <si>
    <t>RENTAL / GROUPS</t>
  </si>
  <si>
    <t xml:space="preserve"> STAFF</t>
  </si>
  <si>
    <t>EQUINE</t>
  </si>
  <si>
    <t>TYPE</t>
  </si>
  <si>
    <t>ARCHERY</t>
  </si>
  <si>
    <t>RIFLERY</t>
  </si>
  <si>
    <t>PAINTBALL</t>
  </si>
  <si>
    <t>ACCT (or equivalent) vendor</t>
  </si>
  <si>
    <t>CHALLENGE COURSES</t>
  </si>
  <si>
    <t>(overnight stays of fewer than three nights)</t>
  </si>
  <si>
    <t>OTHER OVER-NIGHT ACTIVITIES</t>
  </si>
  <si>
    <t>(programs with 3 or more nights out)</t>
  </si>
  <si>
    <t>LIFEGUARDING</t>
  </si>
  <si>
    <t>PROTECTIVE MEASURES</t>
  </si>
  <si>
    <t>BOATING</t>
  </si>
  <si>
    <t>SWIMMING</t>
  </si>
  <si>
    <t>ACTIVITIES</t>
  </si>
  <si>
    <t>SECURITY &amp; ACCESS</t>
  </si>
  <si>
    <t>OTHER?</t>
  </si>
  <si>
    <t>CHILDCARE?</t>
  </si>
  <si>
    <t>OTHER PROGRAMS</t>
  </si>
  <si>
    <t>LICENSING / ACCREDITATION</t>
  </si>
  <si>
    <t>USER GROUPS</t>
  </si>
  <si>
    <t>this section refers to trips with three or more overnights away</t>
  </si>
  <si>
    <t>TRIP &amp; TRAVEL CAMP</t>
  </si>
  <si>
    <t>RESIDENT CAMP</t>
  </si>
  <si>
    <t>DAY CAMP</t>
  </si>
  <si>
    <t>PROGRAM MODES</t>
  </si>
  <si>
    <t>MEDICAL PROFESSIONALS</t>
  </si>
  <si>
    <t>SERVICE CONTRACTORS</t>
  </si>
  <si>
    <t>PROGRAM CONTRACTORS</t>
  </si>
  <si>
    <t>INTERNATIONAL STAFF</t>
  </si>
  <si>
    <t xml:space="preserve">Winter </t>
  </si>
  <si>
    <t xml:space="preserve">Fall </t>
  </si>
  <si>
    <t xml:space="preserve">Spring </t>
  </si>
  <si>
    <t xml:space="preserve">Summer </t>
  </si>
  <si>
    <t>SEASONAL --</t>
  </si>
  <si>
    <t xml:space="preserve">FULL YEAR </t>
  </si>
  <si>
    <t>STAFF</t>
  </si>
  <si>
    <t>OPERATING SEASONS</t>
  </si>
  <si>
    <t>GO TO OTHER PROGRAMS</t>
  </si>
  <si>
    <t>BROKER</t>
  </si>
  <si>
    <t>EMAIL</t>
  </si>
  <si>
    <t>CAMP</t>
  </si>
  <si>
    <t xml:space="preserve">Camping Risk Analysis
</t>
  </si>
  <si>
    <t>Areas needing corrective action - Package</t>
  </si>
  <si>
    <t>Areas needing corrective action - WC</t>
  </si>
  <si>
    <t>Areas needing corrective action - Camping</t>
  </si>
  <si>
    <t>list59</t>
  </si>
  <si>
    <t>list62</t>
  </si>
  <si>
    <t>public system</t>
  </si>
  <si>
    <t>no extinguishers</t>
  </si>
  <si>
    <t>private system</t>
  </si>
  <si>
    <t>in major buildings</t>
  </si>
  <si>
    <t>in or within 50' of all bldgs</t>
  </si>
  <si>
    <t>list 60</t>
  </si>
  <si>
    <t>in all buildings</t>
  </si>
  <si>
    <t>public only</t>
  </si>
  <si>
    <t>none of the above</t>
  </si>
  <si>
    <t>public &amp; private</t>
  </si>
  <si>
    <t>private only</t>
  </si>
  <si>
    <t>bathhouse</t>
  </si>
  <si>
    <t>list61</t>
  </si>
  <si>
    <t>common</t>
  </si>
  <si>
    <t>no schedule</t>
  </si>
  <si>
    <t>attached</t>
  </si>
  <si>
    <t>annual</t>
  </si>
  <si>
    <t>individual</t>
  </si>
  <si>
    <t>quarterly</t>
  </si>
  <si>
    <t>list64</t>
  </si>
  <si>
    <t>non-ACCT vendor</t>
  </si>
  <si>
    <t>volunteers</t>
  </si>
  <si>
    <t>staff</t>
  </si>
  <si>
    <t>list65</t>
  </si>
  <si>
    <t>self - uncertified</t>
  </si>
  <si>
    <t>self - certified</t>
  </si>
  <si>
    <t>vendor - uncertified</t>
  </si>
  <si>
    <t>vendor - certified</t>
  </si>
  <si>
    <t>volunteer - uncertified</t>
  </si>
  <si>
    <t>volunteer - certified</t>
  </si>
  <si>
    <t>list66</t>
  </si>
  <si>
    <t>self trained - certified</t>
  </si>
  <si>
    <t>self trained - uncertified</t>
  </si>
  <si>
    <t>vendor trained - certified</t>
  </si>
  <si>
    <t>vendor trained - uncertified</t>
  </si>
  <si>
    <t>volunteer trained - certified</t>
  </si>
  <si>
    <t>volunteer trained - uncertified</t>
  </si>
  <si>
    <t>untrained</t>
  </si>
  <si>
    <t>list67</t>
  </si>
  <si>
    <t>arena riding</t>
  </si>
  <si>
    <t>trail riding</t>
  </si>
  <si>
    <t>list68</t>
  </si>
  <si>
    <t>provided by camp</t>
  </si>
  <si>
    <t>group provides their own food</t>
  </si>
  <si>
    <t>group allowed to use facility kitchen</t>
  </si>
  <si>
    <t>list69</t>
  </si>
  <si>
    <t>moderate</t>
  </si>
  <si>
    <t>significant</t>
  </si>
  <si>
    <t>list71</t>
  </si>
  <si>
    <t>waters with special jurisdictional controls</t>
  </si>
  <si>
    <t>GO TO PHOTOS</t>
  </si>
  <si>
    <t>Camper quarters are arranged so that counselors have a view of all beds (i.e., there are no hidden nooks or corners); exterior doors either cannot be locked or staff (including counselors) carry the key with them at all times; if windows have curtains, they are kept open except during times of dressing or sleeping</t>
  </si>
  <si>
    <t>public</t>
  </si>
  <si>
    <t>vendor - ACCT (or equivalent) certified</t>
  </si>
  <si>
    <t>vendor - non-certified</t>
  </si>
  <si>
    <t>pool</t>
  </si>
  <si>
    <t>waterfront</t>
  </si>
  <si>
    <t>off-site</t>
  </si>
  <si>
    <t>camp boating</t>
  </si>
  <si>
    <t>personal</t>
  </si>
  <si>
    <t>&lt;26'</t>
  </si>
  <si>
    <t>&gt;26'</t>
  </si>
  <si>
    <t>ON-SITE:</t>
  </si>
  <si>
    <r>
      <rPr>
        <b/>
        <sz val="8"/>
        <rFont val="Arial"/>
        <family val="2"/>
      </rPr>
      <t>2</t>
    </r>
    <r>
      <rPr>
        <b/>
        <sz val="20"/>
        <color indexed="12"/>
        <rFont val="Arial"/>
        <family val="2"/>
      </rPr>
      <t xml:space="preserve">    AQUATIC SAFETY</t>
    </r>
    <r>
      <rPr>
        <b/>
        <sz val="18"/>
        <color indexed="12"/>
        <rFont val="Arial"/>
        <family val="2"/>
      </rPr>
      <t xml:space="preserve"> </t>
    </r>
  </si>
  <si>
    <t>2.1.1.1</t>
  </si>
  <si>
    <t>2.1.1.2</t>
  </si>
  <si>
    <t>2.1.1.3</t>
  </si>
  <si>
    <t>2.1.1.4</t>
  </si>
  <si>
    <t>2.1.2.1</t>
  </si>
  <si>
    <t>2.1.2.2</t>
  </si>
  <si>
    <t>2.1.2.3</t>
  </si>
  <si>
    <t>2.1.2.4</t>
  </si>
  <si>
    <t>2.1.2.5</t>
  </si>
  <si>
    <t>2.1.2.6</t>
  </si>
  <si>
    <t>camper swim</t>
  </si>
  <si>
    <t>staff swim</t>
  </si>
  <si>
    <t>camper marking</t>
  </si>
  <si>
    <t>only swimmer</t>
  </si>
  <si>
    <t>not marked</t>
  </si>
  <si>
    <t>NO SWIMMING OR BOATING</t>
  </si>
  <si>
    <t>nonswimmer PFD</t>
  </si>
  <si>
    <t>swimmer segregation</t>
  </si>
  <si>
    <t>boating PFD</t>
  </si>
  <si>
    <t xml:space="preserve">True   False               </t>
  </si>
  <si>
    <t>boating supervision</t>
  </si>
  <si>
    <t>documented system</t>
  </si>
  <si>
    <t>buddy system</t>
  </si>
  <si>
    <t>5 minute</t>
  </si>
  <si>
    <t>buddy check</t>
  </si>
  <si>
    <t>buddy in water</t>
  </si>
  <si>
    <t>2 person buddy</t>
  </si>
  <si>
    <t>EAP</t>
  </si>
  <si>
    <t>2.2.3.1</t>
  </si>
  <si>
    <t>2.2.3.2</t>
  </si>
  <si>
    <t>2.2.3.3</t>
  </si>
  <si>
    <t>2.2.3.4</t>
  </si>
  <si>
    <t>2.2.7</t>
  </si>
  <si>
    <t>2.2.8</t>
  </si>
  <si>
    <t>2.2.9</t>
  </si>
  <si>
    <t>2.2.9.1</t>
  </si>
  <si>
    <t>2.2.9.2</t>
  </si>
  <si>
    <t>2.2.9.3</t>
  </si>
  <si>
    <t>2.2.9.4</t>
  </si>
  <si>
    <t>2.2.10</t>
  </si>
  <si>
    <t>LG certs</t>
  </si>
  <si>
    <t>LG rescue ready</t>
  </si>
  <si>
    <t>LG rotation/break</t>
  </si>
  <si>
    <t>EAP test/drill</t>
  </si>
  <si>
    <t>in-service</t>
  </si>
  <si>
    <t>2.3.7</t>
  </si>
  <si>
    <t>3.7</t>
  </si>
  <si>
    <t>3.6</t>
  </si>
  <si>
    <t>trip &amp; travel</t>
  </si>
  <si>
    <t>biking</t>
  </si>
  <si>
    <t>hiking</t>
  </si>
  <si>
    <t>wilderness</t>
  </si>
  <si>
    <t>canoe/kayak</t>
  </si>
  <si>
    <t>international</t>
  </si>
  <si>
    <t>regular communication</t>
  </si>
  <si>
    <t>no 15PVs</t>
  </si>
  <si>
    <t>other overnight</t>
  </si>
  <si>
    <t>climbing</t>
  </si>
  <si>
    <t>day camp</t>
  </si>
  <si>
    <t>OPERATIONAL INFORMATION</t>
  </si>
  <si>
    <t xml:space="preserve"> staffwilderness credentials</t>
  </si>
  <si>
    <t>challenge course</t>
  </si>
  <si>
    <t>target practice</t>
  </si>
  <si>
    <t>team building</t>
  </si>
  <si>
    <t>war games</t>
  </si>
  <si>
    <t>bouldering</t>
  </si>
  <si>
    <t>low ropes</t>
  </si>
  <si>
    <t>high ropes</t>
  </si>
  <si>
    <t>natural rock</t>
  </si>
  <si>
    <t>zip line</t>
  </si>
  <si>
    <t>paintball</t>
  </si>
  <si>
    <t>BB</t>
  </si>
  <si>
    <t>oellet - multiple pump</t>
  </si>
  <si>
    <t>pellet - all other</t>
  </si>
  <si>
    <t>.22 short</t>
  </si>
  <si>
    <t>.22 other</t>
  </si>
  <si>
    <t>inflatables</t>
  </si>
  <si>
    <t>2.1.1.5</t>
  </si>
  <si>
    <t>multiple types</t>
  </si>
  <si>
    <t>list70a</t>
  </si>
  <si>
    <t>STATE LICENSING REQUIRED</t>
  </si>
  <si>
    <t>AEE (Association for Experiential Education) ACCREDITATION</t>
  </si>
  <si>
    <t>ACA ACCREDITED</t>
  </si>
  <si>
    <t xml:space="preserve">     helmets</t>
  </si>
  <si>
    <t>waivers</t>
  </si>
  <si>
    <t>CO2</t>
  </si>
  <si>
    <t>3.4.6</t>
  </si>
  <si>
    <t xml:space="preserve">True   False                </t>
  </si>
  <si>
    <t>range commander</t>
  </si>
  <si>
    <t>posted rules</t>
  </si>
  <si>
    <t>spend rounds</t>
  </si>
  <si>
    <t>A written, signed application is required for all paid staff positions that includes 1) a question regarding prior criminal convictions and 2) an abuse prevention code of conduct (this may be a separate document if done during the application process).</t>
  </si>
  <si>
    <r>
      <t xml:space="preserve">1) PLATINUM MEDAL </t>
    </r>
    <r>
      <rPr>
        <i/>
        <sz val="9"/>
        <rFont val="Arial"/>
        <family val="2"/>
      </rPr>
      <t xml:space="preserve">plus </t>
    </r>
    <r>
      <rPr>
        <sz val="9"/>
        <rFont val="Arial"/>
        <family val="2"/>
      </rPr>
      <t>all policy board volunteers complete an overview of abuse prevention training. 
2) All staff receive their child abuse prevention training before working with children.</t>
    </r>
  </si>
  <si>
    <r>
      <t xml:space="preserve">GOLD MEDAL </t>
    </r>
    <r>
      <rPr>
        <i/>
        <sz val="9"/>
        <rFont val="Arial"/>
        <family val="2"/>
      </rPr>
      <t>plus</t>
    </r>
    <r>
      <rPr>
        <sz val="9"/>
        <rFont val="Arial"/>
        <family val="2"/>
      </rPr>
      <t xml:space="preserve"> a parental feedback (reporting) system that provides male and female contacts who are not active in the program is in place for susceptible programs (i.e., childcare, school-aged care, youth sports); an outside reporting agency may be used instead of male/female internal contacts.</t>
    </r>
  </si>
  <si>
    <t>No formal feedback system regarding abuse or abuse protection is in place.</t>
  </si>
  <si>
    <r>
      <t xml:space="preserve">PLATINUM MEDAL </t>
    </r>
    <r>
      <rPr>
        <i/>
        <sz val="9"/>
        <rFont val="Arial"/>
        <family val="2"/>
      </rPr>
      <t>plus</t>
    </r>
    <r>
      <rPr>
        <sz val="9"/>
        <rFont val="Arial"/>
        <family val="2"/>
      </rPr>
      <t xml:space="preserve"> positive identification system (fingerprints, retinal scan, etc.)</t>
    </r>
  </si>
  <si>
    <t>Not a membership-based site - the only access is for child-related programming.</t>
  </si>
  <si>
    <r>
      <t xml:space="preserve">1) GOLD MEDAL </t>
    </r>
    <r>
      <rPr>
        <i/>
        <sz val="9"/>
        <rFont val="Arial"/>
        <family val="2"/>
      </rPr>
      <t>plus</t>
    </r>
    <r>
      <rPr>
        <sz val="9"/>
        <rFont val="Arial"/>
        <family val="2"/>
      </rPr>
      <t xml:space="preserve"> membership cards have photos OR  a photo displays on screen when the card is scanned. 
2) All adult non-members are required to provide government or school issued photo ID.</t>
    </r>
  </si>
  <si>
    <t>All unattended entrances to the facility are secure from unauthorized entry.</t>
  </si>
  <si>
    <t>Protocols are inadequate to control or prevent unauthorized access into the facility.</t>
  </si>
  <si>
    <r>
      <t xml:space="preserve">YELLOW FLAG </t>
    </r>
    <r>
      <rPr>
        <i/>
        <sz val="9"/>
        <rFont val="Arial"/>
        <family val="2"/>
      </rPr>
      <t xml:space="preserve">plus </t>
    </r>
    <r>
      <rPr>
        <sz val="9"/>
        <rFont val="Arial"/>
        <family val="2"/>
      </rPr>
      <t>membership cards are checked; sign-in is required of all non-members.</t>
    </r>
  </si>
  <si>
    <r>
      <t xml:space="preserve">PLATINUM MEDAL </t>
    </r>
    <r>
      <rPr>
        <i/>
        <sz val="9"/>
        <rFont val="Arial"/>
        <family val="2"/>
      </rPr>
      <t>plus</t>
    </r>
    <r>
      <rPr>
        <sz val="9"/>
        <rFont val="Arial"/>
        <family val="2"/>
      </rPr>
      <t xml:space="preserve"> a locker room attendant is on-duty at all times in all locker rooms.</t>
    </r>
  </si>
  <si>
    <t>1) GOLD MEDAL with locker rooms sweeps being documented, frequent (i.e., &lt;30 minutes), and irregular. 
2) Access to family locker rooms are secured by direct staff observation, monitored or taped video camera, or gained only by key/pass-key system.</t>
  </si>
  <si>
    <t>1) Internal windows are provided and kept clear to provide vision into childcare areas. 
2) All doors to areas that are not actively in use are locked. 
3) Undocumented sweeps of all locker rooms are made at least every 30 minutes.</t>
  </si>
  <si>
    <t>1) Internal windows are provided and kept clear to provide vision into childcare areas. 
2) Doors to areas that are not actively in use are not necessarily locked</t>
  </si>
  <si>
    <t>Childcare and/or child watch areas have no internal windows present or windows are blocked by shades, posters, etc.; doors to areas that are not actively in use are not necessarily kept locked.</t>
  </si>
  <si>
    <r>
      <t xml:space="preserve">PLATINUM MEDAL </t>
    </r>
    <r>
      <rPr>
        <i/>
        <sz val="9"/>
        <rFont val="Arial"/>
        <family val="2"/>
      </rPr>
      <t>plus</t>
    </r>
    <r>
      <rPr>
        <sz val="9"/>
        <rFont val="Arial"/>
        <family val="2"/>
      </rPr>
      <t xml:space="preserve"> all kids in the building are supervised at all times utilizing 1) a sign-in/sign-out system and 2) program and facility monitoring by staff.</t>
    </r>
  </si>
  <si>
    <t>The age at which unaccompanied children may be alone in the building is 1) clearly posted and 2) also listed on the web page or in printed materials.</t>
  </si>
  <si>
    <t>Minimum ages are established for unaccompanied children but the information is not clearly communicated to parents through signs, information on-line, or in literature.</t>
  </si>
  <si>
    <t>No minimum ages are established for unaccompanied children.</t>
  </si>
  <si>
    <t>There is no childcare, after-school care, camp, or child watch provided by staff, volunteers, or vendors.</t>
  </si>
  <si>
    <r>
      <t xml:space="preserve">PLATINUM MEDAL </t>
    </r>
    <r>
      <rPr>
        <i/>
        <sz val="9"/>
        <rFont val="Arial"/>
        <family val="2"/>
      </rPr>
      <t>plus</t>
    </r>
    <r>
      <rPr>
        <sz val="9"/>
        <rFont val="Arial"/>
        <family val="2"/>
      </rPr>
      <t xml:space="preserve"> children in these programs have separate bathroom facilities from adult users of the facility.</t>
    </r>
  </si>
  <si>
    <t>Protocols do not prevent a staff member from unintentionally being alone at an off-site location with a child.</t>
  </si>
  <si>
    <t>One or more childcare sites are sometimes intentionally staffed by only one staff member without extraordinary controls.</t>
  </si>
  <si>
    <r>
      <t xml:space="preserve">PLATINUM MEDAL </t>
    </r>
    <r>
      <rPr>
        <i/>
        <sz val="9"/>
        <rFont val="Arial"/>
        <family val="2"/>
      </rPr>
      <t>plus</t>
    </r>
    <r>
      <rPr>
        <sz val="9"/>
        <rFont val="Arial"/>
        <family val="2"/>
      </rPr>
      <t xml:space="preserve"> the children are divided and seated by size, age, or relationship as needed.</t>
    </r>
  </si>
  <si>
    <r>
      <t xml:space="preserve">First option GOLD MEDAL </t>
    </r>
    <r>
      <rPr>
        <i/>
        <sz val="9"/>
        <rFont val="Arial"/>
        <family val="2"/>
      </rPr>
      <t>plus</t>
    </r>
    <r>
      <rPr>
        <sz val="9"/>
        <rFont val="Arial"/>
        <family val="2"/>
      </rPr>
      <t xml:space="preserve"> the utilization of a procedure that ensures and documents that the bus is inspected to ensure that no child is left in the vehicle.</t>
    </r>
  </si>
  <si>
    <t>The only staff member in the vehicle may be the driver…i.e., no staff is available for active supervision of the children when the vehicle is moving.</t>
  </si>
  <si>
    <t>No on-site or off-site managed body of water is owned or operated – no paid or volunteer lifeguards are used.</t>
  </si>
  <si>
    <t>No on-site or off-site managed body of water is owned or operated.</t>
  </si>
  <si>
    <t>1) PLATINUM MEDAL with each managed body of water actively guarded by an appropriate number of lifeguards at all times.  
2) Staffing is based on the size and shape of the managed body of water, the type of activity, and the age, swimming ability, and number of guests. Though the standard is not a set ratio of lifeguards-to-swimmers, the recommended ratio of 1:20 will not be exceeded in meeting this standard. 
3) While there may be times when a single guard is appropriate, managed bodies of water at this level will normally have multiple active guards, and will always have multiple guards whenever children are present.</t>
  </si>
  <si>
    <r>
      <t xml:space="preserve">GOLD MEDAL </t>
    </r>
    <r>
      <rPr>
        <i/>
        <sz val="9"/>
        <rFont val="Arial"/>
        <family val="2"/>
      </rPr>
      <t>plus</t>
    </r>
    <r>
      <rPr>
        <sz val="9"/>
        <rFont val="Arial"/>
        <family val="2"/>
      </rPr>
      <t xml:space="preserve"> at least one secondary responder (a staff member who is certified in CPR and lifeguarding other than an on-duty lifeguard) is available in the building in case of emergency.</t>
    </r>
  </si>
  <si>
    <t>A single lifeguard may guard more than one managed body of water, but those bodies of water are immediately adjacent to one another without walls or other visual barriers.</t>
  </si>
  <si>
    <t>There are times when a managed body of water may be open without an active lifeguard on duty.</t>
  </si>
  <si>
    <r>
      <t xml:space="preserve">PLATINUM MEDAL </t>
    </r>
    <r>
      <rPr>
        <i/>
        <sz val="9"/>
        <rFont val="Arial"/>
        <family val="2"/>
      </rPr>
      <t>plus</t>
    </r>
    <r>
      <rPr>
        <sz val="9"/>
        <rFont val="Arial"/>
        <family val="2"/>
      </rPr>
      <t xml:space="preserve"> lifeguards change posture or position (i.e., sitting, standing, limited strolling) frequently (every 5 minutes) in order to stay alert and to provide alternate angles of visibility.</t>
    </r>
  </si>
  <si>
    <r>
      <t xml:space="preserve">1) GOLD MEDAL </t>
    </r>
    <r>
      <rPr>
        <i/>
        <sz val="9"/>
        <rFont val="Arial"/>
        <family val="2"/>
      </rPr>
      <t>plus</t>
    </r>
    <r>
      <rPr>
        <sz val="9"/>
        <rFont val="Arial"/>
        <family val="2"/>
      </rPr>
      <t xml:space="preserve"> the entire area of responsibility, including on-deck spas, etc., is visible within a 180 degree sweep without any turning of the body.
2) Lifeguards are positioned so that nothing can hinder their view…not glare, physical obstacles, or people passing between them and the water; sun protection (sun glasses, umbrella or hat, sun screen, etc.) is utilized outdoors as necessary.</t>
    </r>
  </si>
  <si>
    <t>Lifeguards are rescue ready - 
1) Every on-duty lifeguard is clearly identified by shirt, rescue tube, PPE, and whistle. and 
2) Every on-duty lifeguard can see their entire area of responsibility from their position in an elevated chair or on the deck - this means they can see all of the pool bottom in their area.
3) There are no standard height chairs available for lifeguard use.</t>
  </si>
  <si>
    <t>Lifeguards are not necessarily rescue ready: (e.g. lifeguards are allowed to wear street clothing OR the uniform standard is inconsistent OR lifeguards are allowed to sit on standard height chairs, bleachers, etc. OR lifeguards are not required to have their rescue buoy and PPE (gloves and a resuscitation mask) on their person when on duty.</t>
  </si>
  <si>
    <t>Lifeguard attire, position, and/or equipment are not or are inadequately addressed in the aquatic standards.</t>
  </si>
  <si>
    <t>Aquatic standards allow some personal activities (e.g., using the telephone, eating or drinking, etc.) as long as the lifeguard stays on the pool deck.</t>
  </si>
  <si>
    <t>Aquatic standards do not address lifeguard conduct and behavior (or are so loose that reading while on duty or leaving the pool deck are allowed).</t>
  </si>
  <si>
    <t>GOLD MEDAL with the 10/10 rule being regularly followed by lifeguards and strictly enforced by management (i.e., there are personal repercussions for non-compliant guards).</t>
  </si>
  <si>
    <t>Lifeguards watch the general managed body of water area rather than specifically checking the bottom and actually evaluating swimmer activity above and below water.</t>
  </si>
  <si>
    <t>Scanning and zone validation are not addressed in the aquatic standards.</t>
  </si>
  <si>
    <r>
      <t xml:space="preserve">PLATINUM MEDAL </t>
    </r>
    <r>
      <rPr>
        <i/>
        <sz val="9"/>
        <rFont val="Arial"/>
        <family val="2"/>
      </rPr>
      <t>plus</t>
    </r>
    <r>
      <rPr>
        <sz val="9"/>
        <rFont val="Arial"/>
        <family val="2"/>
      </rPr>
      <t xml:space="preserve"> all non-swimmers (adults and children) are in USCG approved and fitted life jackets 
OR non-swimming adults are restricted to water sections no deeper than nipple depth.</t>
    </r>
  </si>
  <si>
    <t>Swimmer testing / marking is not addressed in the aquatic standards OR is done inconsistently OR does not at least meet the criteria of the Yellow Flag level.</t>
  </si>
  <si>
    <t>1) Every special event child (day camps, parties, outside groups, etc.) is swim tested before being allowed into the water. 
2) Non-swimming children are only allowed in sections of shallow water where the water depth is at or below their nipple line.</t>
  </si>
  <si>
    <t>1) GOLD MEDAL plus lifeguards are given a 5-minute hourly respite from active guarding. 
2) The lifeguards rotate at least every 30 minutes.</t>
  </si>
  <si>
    <t>1) A lifeguard’s scheduled surveillance does not exceed two hours without at least a 10-minute break. 
2) A qualified replacement is available for temporary biological or emergency breaks as needed.</t>
  </si>
  <si>
    <t>Lifeguards may be scheduled to be on duty for more than two hours without a break.</t>
  </si>
  <si>
    <t>Lifeguard rotation and breaks are not addressed in the aquatic standards.</t>
  </si>
  <si>
    <r>
      <t>1) GOLD MEDAL</t>
    </r>
    <r>
      <rPr>
        <i/>
        <sz val="9"/>
        <rFont val="Arial"/>
        <family val="2"/>
      </rPr>
      <t xml:space="preserve"> plus</t>
    </r>
    <r>
      <rPr>
        <sz val="9"/>
        <rFont val="Arial"/>
        <family val="2"/>
      </rPr>
      <t xml:space="preserve"> there are at least quarterly aquatic emergency response drills that involve both aquatic and front desk staff. 
2) There are either multiple alarm stations on the pool deck or one of the guards carries a mobile alarm activator.</t>
    </r>
  </si>
  <si>
    <t>YELLOW FLAG with the emergency response being initiated directly from the managed body of water area using non-verbal auditory technology (i.e., horn, buzzer, etc.; an additional visual display is acceptable) instead of telephone or walkie-talkie.</t>
  </si>
  <si>
    <t>Front desk staff is aware of their role in an aquatic emergency. A telephone or walkie-talkie may be used to communicate between managed body of water and the front desk.</t>
  </si>
  <si>
    <t>The aquatic emergency response mechanism is not clearly defined.</t>
  </si>
  <si>
    <t>GOLD MEDAL with at least 25 Quick Checks weekly per pool (a reduced number may be approved by the Redwoods risk manager if the pool is not open full time).</t>
  </si>
  <si>
    <t>Aquatic Quick Checks or similar documented internal lifeguard observations are used.</t>
  </si>
  <si>
    <t>Aquatic audits or observations are irregular, infrequent, or undocumented.</t>
  </si>
  <si>
    <t>Aquatic audits and observations are not addressed in the aquatic standards.</t>
  </si>
  <si>
    <t>1) Mandatory in-service training is two hours monthly, increased to four hours monthly during June, July, and August for year-around operations (summer only operations need meet only the 4 hour per month summer standard). 
2) The 12-month schedule is a cohesive plan that routinely includes some aspect of scanning and covers CPR, in-water rescue, spinal injury management, and Emergency Action Plan at least twice annually.  
3) Staff members who miss a scheduled training or make-up session are removed from the work schedule (12-month staff members may be granted one missed training annually).</t>
  </si>
  <si>
    <t>Documented in-service training is conducted at least monthly (when open) following an established training plan; additional topics can be inserted as needed.</t>
  </si>
  <si>
    <t>In-service training is not provided or is not documented.</t>
  </si>
  <si>
    <r>
      <t xml:space="preserve">1) GOLD MEDAL </t>
    </r>
    <r>
      <rPr>
        <i/>
        <sz val="9"/>
        <rFont val="Arial"/>
        <family val="2"/>
      </rPr>
      <t>plus</t>
    </r>
    <r>
      <rPr>
        <sz val="9"/>
        <rFont val="Arial"/>
        <family val="2"/>
      </rPr>
      <t xml:space="preserve"> a section that is no deeper than 48” is defined by floating rope or similar physical distinction. 
2) The deck is wide enough to allow guarding and victim extrication from all sides. 
3) The pool decking has slip resistant materials or coatings.</t>
    </r>
  </si>
  <si>
    <r>
      <t xml:space="preserve">1) Pool ladders are securely anchored and do not pose entrapment hazards. 
2) Depth markers and </t>
    </r>
    <r>
      <rPr>
        <i/>
        <sz val="9"/>
        <rFont val="Arial"/>
        <family val="2"/>
      </rPr>
      <t xml:space="preserve">NO DIVING </t>
    </r>
    <r>
      <rPr>
        <sz val="9"/>
        <rFont val="Arial"/>
        <family val="2"/>
      </rPr>
      <t xml:space="preserve"> signs are clearly visible. 
3) A floating rope is in place to divide shallow from deep water. 
4) The center drain can be seen from the surface and meets VGB requirements. 
5) The deck is free of slip/fall hazards.</t>
    </r>
  </si>
  <si>
    <t>The pool meets all major applicable safety codes.</t>
  </si>
  <si>
    <t>The pool does not meet all major applicable safety codes.</t>
  </si>
  <si>
    <r>
      <t>1) YELLOW</t>
    </r>
    <r>
      <rPr>
        <i/>
        <sz val="9"/>
        <rFont val="Arial"/>
        <family val="2"/>
      </rPr>
      <t xml:space="preserve"> FLAG plus</t>
    </r>
    <r>
      <rPr>
        <sz val="9"/>
        <rFont val="Arial"/>
        <family val="2"/>
      </rPr>
      <t xml:space="preserve"> new employees receive a facility orientation that includes review of  the emergency action plan. 
2) Lifeguard, CPR, and first aid skills are tested and approved prior to the individual's first lifeguarding shift.</t>
    </r>
  </si>
  <si>
    <t>Current lifeguard, CPR, and first aid certifications are accepted only from nationally accredited agencies.</t>
  </si>
  <si>
    <t>Lifeguard, CPR, and first aid certifications might not be verified before hiring, might be out of date, or might be accepted from agencies not having national accreditation.</t>
  </si>
  <si>
    <t>1) PLATINUM MEDAL with the branch aquatic director overseeing no other program areas (but can have some MOD responsibilities). 
2) The association has either an aquatic work group, council, or advisory committee. 
3) The following documentation is either posted or readily available for inspection: in-service schedule including topics to be covered, in-service attendance log, supplemental oxygen log, AED log. 
4) There is a tracking mechanism that monitors certification expiration and in-service attendance for all lifeguards.</t>
  </si>
  <si>
    <r>
      <t xml:space="preserve">1) GOLD MEDAL </t>
    </r>
    <r>
      <rPr>
        <i/>
        <sz val="9"/>
        <rFont val="Arial"/>
        <family val="2"/>
      </rPr>
      <t>plus</t>
    </r>
    <r>
      <rPr>
        <sz val="9"/>
        <rFont val="Arial"/>
        <family val="2"/>
      </rPr>
      <t xml:space="preserve"> each branch with a managed body of water has a qualified, experienced, aquatic professional</t>
    </r>
    <r>
      <rPr>
        <sz val="9"/>
        <color indexed="10"/>
        <rFont val="Arial"/>
        <family val="2"/>
      </rPr>
      <t xml:space="preserve"> </t>
    </r>
    <r>
      <rPr>
        <sz val="9"/>
        <rFont val="Arial"/>
        <family val="2"/>
      </rPr>
      <t>whose specific responsibilities include aquatics. 
2) The following documentation is either posted or readily available for inspection: emergency action plan, blood borne pathogen protocol, fecal matter protocol, lifeguard schedule, managed body of water use schedule, zone coverage map, maintenance log, chemical readings, and incident/accident reports.</t>
    </r>
  </si>
  <si>
    <t>1) YELLOW FLAG with a staff person is specifically responsible for aquatics at each branch. 
2) Copies of all required certifications (e.g., lifeguard, CPR, first aid, and any others mandated by local or state ordinance) are on file and available for review.</t>
  </si>
  <si>
    <t>All required certifications are documented before an individual is used as a lifeguard but there may be no person specifically responsible for aquatics.</t>
  </si>
  <si>
    <t>Aquatic administrative paperwork and/or supervision is not adequately addressed.</t>
  </si>
  <si>
    <t>Lifeguard vigilance is augmented by the Poseidon System.</t>
  </si>
  <si>
    <t>An aquatic training session that focuses on effective scanning techniques and lifeguard vigilance conducted by The Redwoods Group (or approved by TRG's aquatic specialist) is held, hosted, or attended by the association’s lifeguards, aquatics directors, and executive staff.</t>
  </si>
  <si>
    <t>There are no owned or leased vehicles.</t>
  </si>
  <si>
    <t>People are only transported in full sized or mini-school buses with duallies, mini-vans, or cars regardless of who owns the vehicle (i.e., whether it is owned, leased, rented, or borrowed).</t>
  </si>
  <si>
    <t>1) People are only transported in full-sized or mini-school buses, mini-vans, or cars regardless of who owns the vehicle (i.e., whether it is owned, leased, rented, or borrowed). 2) Mini-buses without dual rear wheels on each side of the vehicle are used only at speeds of  45 mph or slower.</t>
  </si>
  <si>
    <t>12- or 15-passenger vans are or may be used either without modifications or restrictions or with modifications or restrictions that do not meet TRG standards. Lack of any specified controls also falls in this category.</t>
  </si>
  <si>
    <t>Vehicle inspections or maintenance are not addressed or are without specified criteria, policy, or procedures.</t>
  </si>
  <si>
    <t>Undocumented service that approximates manufacturer’s guidelines and/or informal, irregular, or undocumented vehicle inspections.</t>
  </si>
  <si>
    <r>
      <t xml:space="preserve">1) GOLD MEDAL </t>
    </r>
    <r>
      <rPr>
        <i/>
        <sz val="9"/>
        <rFont val="Arial"/>
        <family val="2"/>
      </rPr>
      <t>plus</t>
    </r>
    <r>
      <rPr>
        <sz val="9"/>
        <rFont val="Arial"/>
        <family val="2"/>
      </rPr>
      <t xml:space="preserve"> a documented preventative maintenance program for all vehicles that transport people. 
2) Documented weekly inspections of vehicles (seasonal vehicles can be excluded during their off-seasons). 
3) There is a local staff member who oversees the vehicles at the branch level.</t>
    </r>
  </si>
  <si>
    <r>
      <t xml:space="preserve">There are no owned or leased vehicles and </t>
    </r>
    <r>
      <rPr>
        <u/>
        <sz val="9"/>
        <rFont val="Arial"/>
        <family val="2"/>
      </rPr>
      <t>never</t>
    </r>
    <r>
      <rPr>
        <sz val="9"/>
        <rFont val="Arial"/>
        <family val="2"/>
      </rPr>
      <t xml:space="preserve"> any borrowed, rented, or hired vehicles.</t>
    </r>
  </si>
  <si>
    <t>There are no training protocols.</t>
  </si>
  <si>
    <t>An initial generalized driver orientation is provided.</t>
  </si>
  <si>
    <t>There is an initial generalized driver orientation plus specific hands-on orientation using each of the types of vehicles that the specific driver will drive.</t>
  </si>
  <si>
    <r>
      <t xml:space="preserve">1) PLATINUM MEDAL </t>
    </r>
    <r>
      <rPr>
        <i/>
        <sz val="9"/>
        <rFont val="Arial"/>
        <family val="2"/>
      </rPr>
      <t>plus</t>
    </r>
    <r>
      <rPr>
        <sz val="9"/>
        <rFont val="Arial"/>
        <family val="2"/>
      </rPr>
      <t xml:space="preserve"> annual road tests or ride-alongs are documented for every driver. 
2) Defensive driver training is required of all drivers annually.</t>
    </r>
  </si>
  <si>
    <t>One or more of the following is true: no age or driving experience requirements are established OR there is no MVR (motor vehicle record) evaluation process.</t>
  </si>
  <si>
    <t>One or more of the following is true: minimum driver age is 19, there is no minimum driving experience requirement OR the MVR evaluation requirement is only for drivers who transport children.</t>
  </si>
  <si>
    <r>
      <t xml:space="preserve">1) the minimum age is 21 with at least 3 years of driving experience. 
2) Current MVRs are evaluated initially and at least every 3 years thereafter using criteria equal to or greater than the </t>
    </r>
    <r>
      <rPr>
        <i/>
        <u/>
        <sz val="9"/>
        <rFont val="Arial"/>
        <family val="2"/>
      </rPr>
      <t>adequate</t>
    </r>
    <r>
      <rPr>
        <sz val="9"/>
        <rFont val="Arial"/>
        <family val="2"/>
      </rPr>
      <t xml:space="preserve"> standard cited in </t>
    </r>
    <r>
      <rPr>
        <i/>
        <u/>
        <sz val="9"/>
        <rFont val="Arial"/>
        <family val="2"/>
      </rPr>
      <t>RMA Driver Selection &amp; Control.</t>
    </r>
  </si>
  <si>
    <r>
      <t xml:space="preserve">1) The minimum driver age is 20 with at least 2 years of driving experience. 
2) Current MVRs are evaluated at the time of hire or job change using </t>
    </r>
    <r>
      <rPr>
        <i/>
        <u/>
        <sz val="9"/>
        <rFont val="Arial"/>
        <family val="2"/>
      </rPr>
      <t>acceptable</t>
    </r>
    <r>
      <rPr>
        <sz val="9"/>
        <rFont val="Arial"/>
        <family val="2"/>
      </rPr>
      <t xml:space="preserve"> criteria.</t>
    </r>
  </si>
  <si>
    <r>
      <t xml:space="preserve">PLATINUM MEDAL </t>
    </r>
    <r>
      <rPr>
        <i/>
        <sz val="9"/>
        <rFont val="Arial"/>
        <family val="2"/>
      </rPr>
      <t>plus</t>
    </r>
    <r>
      <rPr>
        <sz val="9"/>
        <rFont val="Arial"/>
        <family val="2"/>
      </rPr>
      <t xml:space="preserve"> all the agreements include indemnification or arbitration clauses; documents are reviewed either by TRG risk management or broker (this level is not available in states identified in the explanatory note)  </t>
    </r>
  </si>
  <si>
    <r>
      <t xml:space="preserve">Reference checks are completed and on file for all child-serving staff (not </t>
    </r>
    <r>
      <rPr>
        <i/>
        <sz val="9"/>
        <rFont val="Arial"/>
        <family val="2"/>
      </rPr>
      <t>just</t>
    </r>
    <r>
      <rPr>
        <sz val="9"/>
        <rFont val="Arial"/>
        <family val="2"/>
      </rPr>
      <t xml:space="preserve"> childcare)</t>
    </r>
  </si>
  <si>
    <t>The state of domicile has legislation that seriously restricts the efficacy of waivers (e.g., AZ, CT).</t>
  </si>
  <si>
    <t>Waivers, assumption of risk, or informed consent agreements are not required for guests, program participants, and/or members.</t>
  </si>
  <si>
    <t>An informal waiver, assumption of risk, or informed consent agreement is used for guests, program participants, and/or members.</t>
  </si>
  <si>
    <t>Contracts may be signed without the approval of corporate management OR binding agreements are made without written contracts.</t>
  </si>
  <si>
    <t>Binding agreements are always codified in writing and all such contracts are previewed by the manager of the branch involved.</t>
  </si>
  <si>
    <r>
      <t xml:space="preserve">1) GOLD MEDAL </t>
    </r>
    <r>
      <rPr>
        <i/>
        <sz val="9"/>
        <rFont val="Arial"/>
        <family val="2"/>
      </rPr>
      <t>plus</t>
    </r>
    <r>
      <rPr>
        <sz val="9"/>
        <rFont val="Arial"/>
        <family val="2"/>
      </rPr>
      <t xml:space="preserve"> non-aquatic staff is trained in emergency oxygen administration so that there are always at least two O2-trained individuals present in the facility whenever it is open. 
2) Non-aquatic individuals should be the first response to any emergency oxygen event that is outside a lifeguard's purview.</t>
    </r>
  </si>
  <si>
    <r>
      <t xml:space="preserve">YELLOW FLAG </t>
    </r>
    <r>
      <rPr>
        <i/>
        <sz val="9"/>
        <rFont val="Arial"/>
        <family val="2"/>
      </rPr>
      <t>plus</t>
    </r>
    <r>
      <rPr>
        <sz val="9"/>
        <rFont val="Arial"/>
        <family val="2"/>
      </rPr>
      <t xml:space="preserve"> emergency oxygen is available at least in the pool area or in the crash kit  with the AED.</t>
    </r>
  </si>
  <si>
    <t>Protocols address the administration of emergency oxygen and at least lifeguarding staff have been trained.</t>
  </si>
  <si>
    <t>The administration of emergency oxygen is not addressed in emergency response, aquatic, or other protocols.</t>
  </si>
  <si>
    <t>GOLD MEDAL with non-aquatic staff trained in AED administration so that at least two AED-trained individuals are present in the facility whenever it is open; these individuals are who should respond to any AED event that is off the pool deck.</t>
  </si>
  <si>
    <t>Protocols address AED usage and at least the lifeguarding staff have been trained.</t>
  </si>
  <si>
    <t>Automatic external defibrillators (AEDs) are not addressed in emergency response, aquatic, or other protocols.</t>
  </si>
  <si>
    <t>There is no sauna.</t>
  </si>
  <si>
    <t>1)The sauna has fire suppression sprinkler protection (or is a stand-alone unit that is outside of the building and does not expose any other portion of the facility – i.e., is at least 25’ from any building component or combustible exposure);
2) There is no deteriorated wood and staff checks the sauna at least every 30 minutes when it is (or may be) occupied.</t>
  </si>
  <si>
    <t>The sauna is inside the building and does not have fire suppression protection (i.e., a sprinkler head).</t>
  </si>
  <si>
    <t>The sauna has deteriorated wood (dry, discolored, or showing signs of pyrolytic decomposition).</t>
  </si>
  <si>
    <r>
      <t xml:space="preserve">PLATINUM MEDAL </t>
    </r>
    <r>
      <rPr>
        <i/>
        <sz val="9"/>
        <rFont val="Arial"/>
        <family val="2"/>
      </rPr>
      <t>plus</t>
    </r>
    <r>
      <rPr>
        <sz val="9"/>
        <rFont val="Arial"/>
        <family val="2"/>
      </rPr>
      <t xml:space="preserve"> pre-employment (post offer) and random testing for all staff and program volunteers (minimum of 25% of staff tested, 50% of CDL drivers).</t>
    </r>
  </si>
  <si>
    <t>There is a written, signed drug-free workplace policy that includes DOT-compatible testing of any CDL drivers.</t>
  </si>
  <si>
    <t>There is at least an informal, unsigned, drug-free workplace policy.</t>
  </si>
  <si>
    <t>Illumination levels in service and work areas are adequate.</t>
  </si>
  <si>
    <t>Floors are clean, dry, and clear of obstruction; "wet floor" signs are used as needed.</t>
  </si>
  <si>
    <t>Ladders are in good condition (no cracks, paint, loose or broken components).</t>
  </si>
  <si>
    <t>Storage areas are neat and orderly; heavy items are stored low, lighter items above.</t>
  </si>
  <si>
    <t>Chemical storage is such that there is no potential for accidental contact of reactionary materials.</t>
  </si>
  <si>
    <t>Vehicles receive regular maintenance that meets or exceeds the manufacturer’s recommendation.</t>
  </si>
  <si>
    <t>Employees who use vehicles, machinery, equipment, or power tools are at least 18 years old.</t>
  </si>
  <si>
    <t>Employees receive training before operating vehicles that transport people, machinery, equipment, or power tools.</t>
  </si>
  <si>
    <t>Power tools are in good repair (cords or hoses undamaged, guards in place, grounding intact, etc.).</t>
  </si>
  <si>
    <t>Personal protective equipment (goggles, faces shields, hard hats, gloves, etc.) is available and in good condition.</t>
  </si>
  <si>
    <t>Office workstations have appropriate desk height and design.</t>
  </si>
  <si>
    <t>Workstation chairs are appropriate for the tasks performed - consider both nature and duration.</t>
  </si>
  <si>
    <t>Computer stations have reduced-height keyboard level and wrist pads (or keyboards with hand rests); if ergonomic keyboards are used please note in comments.</t>
  </si>
  <si>
    <t>Post-adjudication detention facility and armed guard staff receive specialized training and licensing; appropriate protocols are followed; if no such employees mark NA.</t>
  </si>
  <si>
    <t>All boiler or pressure vessel servicing and repair are contracted to outside professionals.</t>
  </si>
  <si>
    <r>
      <rPr>
        <sz val="8"/>
        <rFont val="Arial"/>
        <family val="2"/>
      </rPr>
      <t xml:space="preserve">4        </t>
    </r>
    <r>
      <rPr>
        <b/>
        <sz val="20"/>
        <color indexed="12"/>
        <rFont val="Arial"/>
        <family val="2"/>
      </rPr>
      <t>REPORTING</t>
    </r>
  </si>
  <si>
    <r>
      <t xml:space="preserve">Archery ranges do not expose non-users to harm; equipment is secured, staff is trained / certified; if no archery range mark </t>
    </r>
    <r>
      <rPr>
        <i/>
        <sz val="9"/>
        <rFont val="Arial"/>
        <family val="2"/>
      </rPr>
      <t>NA</t>
    </r>
    <r>
      <rPr>
        <sz val="9"/>
        <rFont val="Arial"/>
        <family val="2"/>
      </rPr>
      <t>.</t>
    </r>
  </si>
  <si>
    <r>
      <t xml:space="preserve">Rifle ranges are properly controlled and do not expose non-users to harm; rifles and ammunition are secured in separate locked cabinets; staff are trained / certified; if no rifle range mark </t>
    </r>
    <r>
      <rPr>
        <i/>
        <sz val="9"/>
        <rFont val="Arial"/>
        <family val="2"/>
      </rPr>
      <t>NA.</t>
    </r>
  </si>
  <si>
    <r>
      <t xml:space="preserve">The care or grooming of saddle animals is properly controlled and is done only by qualified trained staff; if no saddle animals mark </t>
    </r>
    <r>
      <rPr>
        <i/>
        <sz val="9"/>
        <rFont val="Arial"/>
        <family val="2"/>
      </rPr>
      <t>NA.</t>
    </r>
  </si>
  <si>
    <r>
      <t xml:space="preserve">Adventure programming (i.e., scuba, snow skiing, snow boarding, ice climbing, rock climbing, caving or spelunking, ocean kayaking, wilderness hiking or camping, bicycle touring, etc.) is done only with properly qualified and trained staff, suitable equipment, appropriate communication protocols, and redundant safety policies; if none of the listed or similar programs exist mark </t>
    </r>
    <r>
      <rPr>
        <i/>
        <sz val="9"/>
        <rFont val="Arial"/>
        <family val="2"/>
      </rPr>
      <t>NA.</t>
    </r>
  </si>
  <si>
    <r>
      <t xml:space="preserve">Skate Park staff are experienced skaters - they do not participate with the skaters or skate recreationally while on duty. They wear the appropriate safety equipment when they are actually on skates teaching, demonstrating, or monitoring activity; if no skate park mark </t>
    </r>
    <r>
      <rPr>
        <i/>
        <sz val="9"/>
        <rFont val="Arial"/>
        <family val="2"/>
      </rPr>
      <t>N/A.</t>
    </r>
  </si>
  <si>
    <r>
      <t xml:space="preserve">Roof installation or repair is done only by qualified employees; proper controls are utilized; if no roof work is done mark </t>
    </r>
    <r>
      <rPr>
        <i/>
        <sz val="9"/>
        <rFont val="Arial"/>
        <family val="2"/>
      </rPr>
      <t>NA.</t>
    </r>
  </si>
  <si>
    <r>
      <t xml:space="preserve">Logging, tree cutting, and brush clearing activities are done only by trained staff;  proper equipment and PPE are utilized; if no such work is done mark </t>
    </r>
    <r>
      <rPr>
        <i/>
        <sz val="9"/>
        <rFont val="Arial"/>
        <family val="2"/>
      </rPr>
      <t>NA.</t>
    </r>
  </si>
  <si>
    <r>
      <t xml:space="preserve">Boating on ocean or other navigable waters are conducted only by appropriately licensed personnel; boats are well maintained and proper controls are used; if no such activity mark </t>
    </r>
    <r>
      <rPr>
        <i/>
        <sz val="9"/>
        <rFont val="Arial"/>
        <family val="2"/>
      </rPr>
      <t>NA.</t>
    </r>
  </si>
  <si>
    <r>
      <t xml:space="preserve">Program volunteers receive no remuneration, including reduced or waived user fees or membership, room and board, gift certificates, etc.; if no program volunteers mark </t>
    </r>
    <r>
      <rPr>
        <i/>
        <sz val="9"/>
        <rFont val="Arial"/>
        <family val="2"/>
      </rPr>
      <t>NA.</t>
    </r>
  </si>
  <si>
    <r>
      <t xml:space="preserve">Transportation of staff or program participants is done in appropriate vehicles by properly licensed and trained staff; if transportation of staff is not typically done mark </t>
    </r>
    <r>
      <rPr>
        <i/>
        <sz val="9"/>
        <rFont val="Arial"/>
        <family val="2"/>
      </rPr>
      <t>NA.</t>
    </r>
  </si>
  <si>
    <r>
      <t xml:space="preserve">There is no regular use of association owned or leased vehicles by staff members; if no owned or leased vehicles mark </t>
    </r>
    <r>
      <rPr>
        <i/>
        <sz val="9"/>
        <rFont val="Arial"/>
        <family val="2"/>
      </rPr>
      <t>NA.</t>
    </r>
  </si>
  <si>
    <r>
      <t xml:space="preserve">Flammables/combustibles are properly stored (in locked, vented, labeled metal cabinet or outside structure); if no exposure mark </t>
    </r>
    <r>
      <rPr>
        <i/>
        <sz val="9"/>
        <rFont val="Arial"/>
        <family val="2"/>
      </rPr>
      <t>NA.</t>
    </r>
  </si>
  <si>
    <r>
      <t xml:space="preserve">Compressed gases are labeled, protected from tip/fall, and have safety caps in place; oxidizers and fuels are properly separated; if no exposure mark </t>
    </r>
    <r>
      <rPr>
        <i/>
        <sz val="9"/>
        <rFont val="Arial"/>
        <family val="2"/>
      </rPr>
      <t>NA.</t>
    </r>
  </si>
  <si>
    <r>
      <t xml:space="preserve">Acids and alkalis are labeled and appropriately stored; if no exposure mark </t>
    </r>
    <r>
      <rPr>
        <i/>
        <sz val="9"/>
        <rFont val="Arial"/>
        <family val="2"/>
      </rPr>
      <t>NA.</t>
    </r>
  </si>
  <si>
    <r>
      <t xml:space="preserve">Personal protective gear (gloves, apron, goggles, face shield, respirator if necessary) is readily available and in good condition, emergency eye wash and shower are available within 10’ with no doors or other potential barriers; if no exposure mark </t>
    </r>
    <r>
      <rPr>
        <i/>
        <sz val="9"/>
        <rFont val="Arial"/>
        <family val="2"/>
      </rPr>
      <t>NA.</t>
    </r>
  </si>
  <si>
    <r>
      <t xml:space="preserve">Respirators are provided and used; applicable staff and program volunteers are trained and fitted; documentation is maintained; if no exposure mark </t>
    </r>
    <r>
      <rPr>
        <i/>
        <sz val="9"/>
        <rFont val="Arial"/>
        <family val="2"/>
      </rPr>
      <t>NA.</t>
    </r>
  </si>
  <si>
    <r>
      <t xml:space="preserve">Confined space entry protocols are followed and documented; if no exposure mark </t>
    </r>
    <r>
      <rPr>
        <i/>
        <sz val="9"/>
        <rFont val="Arial"/>
        <family val="2"/>
      </rPr>
      <t>NA.</t>
    </r>
  </si>
  <si>
    <r>
      <t xml:space="preserve">Stairs have anti-slip treads and appropriate handrails; if no stairs mark </t>
    </r>
    <r>
      <rPr>
        <i/>
        <sz val="9"/>
        <rFont val="Arial"/>
        <family val="2"/>
      </rPr>
      <t>NA.</t>
    </r>
  </si>
  <si>
    <t>PLATINUM MEDAL expanded to include special event volunteers.</t>
  </si>
  <si>
    <t>GOLD MEDAL plus a similar written application is required of program and child-serving volunteers.</t>
  </si>
  <si>
    <t>A written, signed application is required for all paid staff positions that includes previous employer contact.</t>
  </si>
  <si>
    <t>Some form of written, signed application is required for all paid staff positions.</t>
  </si>
  <si>
    <t>Any use of applications that does not meet at least the Yellow Flag criteria above, including any use of resumes without completed signed applications.</t>
  </si>
  <si>
    <t>1) PLATINUM MEDAL expanded to include all programmatic, child-serving, or special event volunteers. 
2) All CBCs include a social security address trace.</t>
  </si>
  <si>
    <t>GOLD MEDAL expanded to include all contracted staff who interact with participants (may include martial arts, masseuse, personal trainers, lifeguards, etc.).</t>
  </si>
  <si>
    <t>CBCs from all jurisdictions in which the applicant has lived or worked for the last five years are required for all paid staff positions.</t>
  </si>
  <si>
    <t>Local CBCs are completed for all paid staff positions in childcare or that work with children.</t>
  </si>
  <si>
    <t>Any use or non-use of criminal background checks that does not meet at least the Yellow Flag criteria above.</t>
  </si>
  <si>
    <t>A written statement encouraging RTW / LD has been developed and is part of the safety and/or employee manual.</t>
  </si>
  <si>
    <t>RTW / LD is not addressed.</t>
  </si>
  <si>
    <t>There is a formal written drug free workplace program that includes DOT-compatible testing of any CDL drivers.</t>
  </si>
  <si>
    <t>There is an informal drug-free workplace policy.</t>
  </si>
  <si>
    <t>Drug use is not addressed.</t>
  </si>
  <si>
    <t>A comprehensive written safety program is in effect, reviewed with employees at orientation and subsequently when amended, and accessible to all employees.</t>
  </si>
  <si>
    <t>A written safety program has been developed but it may not be reviewed with employees.</t>
  </si>
  <si>
    <t>No safety program has been developed.</t>
  </si>
  <si>
    <t>State statutes prevent or significantly restrict the use of a designated provider (e.g., NE).</t>
  </si>
  <si>
    <t>A written statement is published and posted as to where injured employees should seek medical treatment if injured on the job.</t>
  </si>
  <si>
    <t>Management does not provide suggestions of where employees can be treated for medical treatment if injured on the job.</t>
  </si>
  <si>
    <t>PLATINUM MEDAL with accountabilities established for RTW / LD program results.</t>
  </si>
  <si>
    <t>1) GOLD MEDAL with job descriptions completed for all light duty jobs. 
2) All offers of light duty documented in writing.</t>
  </si>
  <si>
    <t>YELLOW FLAG but with formal RTW / LD program.</t>
  </si>
  <si>
    <t>PLATINUM MEDAL plus pre-employment (post-offer) and random (at least 25% of the workforce annually) drug-testing for all staff and program volunteers (where permitted by law).</t>
  </si>
  <si>
    <t>GOLD MEDAL  plus post accident and for cause drug testing program for all employees.</t>
  </si>
  <si>
    <t>1) PLATINUM MEDAL plus a dedicated safety officer (who has no other duties). 
2) Accountabilities for safety are established. 
3) The safety program is formally reviewed at least every three years.</t>
  </si>
  <si>
    <t>PLATINUM MEDAL where designated provider has visited the facility and is familiar with the operations.</t>
  </si>
  <si>
    <t>GOLD MEDAL with each branch having at least one designated provider within 5 miles of the facility.</t>
  </si>
  <si>
    <t>PLATINUM MEDAL plus written job descriptions exist for all positions.</t>
  </si>
  <si>
    <t>GOLD MEDAL including summary documents with list of attendees for each training session.</t>
  </si>
  <si>
    <t>Formal orientation and job training exist.</t>
  </si>
  <si>
    <t>Orientation and job training is informal, inconsistent, sporadic, or undocumented.</t>
  </si>
  <si>
    <t>There is no new employee orientation or job training.</t>
  </si>
  <si>
    <t>PLATINUM MEDAL with the program fully documented and presented at least every other year.</t>
  </si>
  <si>
    <t>GOLD MEDAL plus all facility, maintenance, and grounds employees, child care providers, lifeguards, camp counselors and health/fitness employees are given specific documented instruction in safe lifting.</t>
  </si>
  <si>
    <t>YELLOW FLAG plus written job specific lifting techniques are included in the employee and/or safety manual that all employees receive and acknowledge by signature.</t>
  </si>
  <si>
    <t>Safe lifting techniques are reviewed in the initial orientation.</t>
  </si>
  <si>
    <t>No lifting training is provided.</t>
  </si>
  <si>
    <t>PLATINUM MEDAL plus hazard communication training for volunteers.</t>
  </si>
  <si>
    <t>1) GOLD MEDAL with training for all staff. 
2) PPE use is enforced, non-compliance and corrective action is documented in personnel file.</t>
  </si>
  <si>
    <t>1) A written hazard communication program exists. 
2) Maintenance, grounds, and aquatic employees receive appropriate training, MSDSs provided.</t>
  </si>
  <si>
    <t>MSDS are maintained but there is no written hazard communication program.</t>
  </si>
  <si>
    <t>Hazardous chemicals and materials are not always addressed.</t>
  </si>
  <si>
    <t>PLATINUM MEDAL plus all program volunteers receive documented blood-borne pathogen training.</t>
  </si>
  <si>
    <t>Written procedures exist and all employees receive documented training in universal precautions.</t>
  </si>
  <si>
    <t>1) Written procedures exist. 
2) Childcare workers, lifeguards, coaches and officials receive documented training in universal precautions that includes handling blood and other bodily fluids.</t>
  </si>
  <si>
    <t>Blood-borne pathogens are not addressed.</t>
  </si>
  <si>
    <t>Blood-borne pathogens are addressed, but training is not provided or is not consistently documented.</t>
  </si>
  <si>
    <t>PLATINUM MEDAL plus contracted staff and program volunteers receive first aid and CPR training.</t>
  </si>
  <si>
    <t>GOLD MEDAL expanded to all staff members.</t>
  </si>
  <si>
    <t>YELLOW FLAG plus fitness and other programming staff receive first aid and CPR training within 60 days of hire.</t>
  </si>
  <si>
    <t>Lifeguards and licensed childcare and after-school care staff receive first aid and CPR training before performing those functions.</t>
  </si>
  <si>
    <t>Any first aid or CPR training requirements that do not meet at least Yellow Flag.</t>
  </si>
  <si>
    <t>1) PLATINUM MEDAL with the protocol including non-injury incidents as well as accidents. 
2) The administrative / executive offices receive notice within 24 hours.</t>
  </si>
  <si>
    <t xml:space="preserve">GOLD MEDAL with reporting to the branch director also within 24 hours.
</t>
  </si>
  <si>
    <t>A uniform protocol requires all accidents to be reported to the supervisor within 24 hours.</t>
  </si>
  <si>
    <t>Branches, locations, or supervisors establish their own accident reporting protocols.</t>
  </si>
  <si>
    <t>No policy has been established for accident reporting.</t>
  </si>
  <si>
    <t>The vast majority of accidents in the last three years were reported to the insurance provider within 2 days of the incident date.</t>
  </si>
  <si>
    <t>The vast majority of accidents in the last three years were reported to the insurance provider within 5 days of the incident date.</t>
  </si>
  <si>
    <t>The vast majority of accidents in the last three years were reported to the insurance provider within 10 days of the incident date.</t>
  </si>
  <si>
    <t>The vast majority of accidents in the last three years were reported to the insurance provider within 20 days of the incident date.</t>
  </si>
  <si>
    <t>The vast majority of accidents in the last three years were reported to the insurance provider more than 20 days after the incident date.</t>
  </si>
  <si>
    <t>1) PLATINUM MEDAL meeting monthly and including non-injury incidents. 
2) Action plans are formulated for employee training and/or procedural change.</t>
  </si>
  <si>
    <t>1)A safety committee meets to review all injuries but does so less than monthly. 
2) Accident reviews includes trend analysis.</t>
  </si>
  <si>
    <t>Accident investigations and reports are documented on all injuries.</t>
  </si>
  <si>
    <t>Accident investigation and reporting is done only for lost-time injuries.</t>
  </si>
  <si>
    <t>Accident investigations are not done or are done irregularly.</t>
  </si>
  <si>
    <t>PLATINUM MEDAL with the frequency being at least quarterly.</t>
  </si>
  <si>
    <t>GOLD MEDAL where the inspections and actions are done at least semiannually by a designated safety committee.</t>
  </si>
  <si>
    <t>Informal / non-written inspections or audits are completed.</t>
  </si>
  <si>
    <t>No inspections or audits of equipment and premises are completed.</t>
  </si>
  <si>
    <t>range</t>
  </si>
  <si>
    <t>Provide details - on-site or only with campers off-site?; type (e.g., doctor, RN LPN, EMT, etc.), number, relationship (e.g., vendor, volunteer, paid), frequency/duration (e.g., year-around, summer only, week-ends/24-hour, day only, night only, etc.); describe the infirmary, number of beds, medical controls, etc.</t>
  </si>
  <si>
    <t>Wilderness credentials are held by staff of wilderness and extended aquatic trips.</t>
  </si>
  <si>
    <t>Provide number of horses, experience of program director, training and certification of wranglers, whether wranglers are staff or vendor, program description, etc.</t>
  </si>
  <si>
    <t>Describe vessels, program, frequency, vetting process, communication, and EAP; this section includes white-water trips by vendor, canoeing or kayaking, etc. even if mentioned in TRIP &amp; TRAVEL</t>
  </si>
  <si>
    <t>full offsite burglar alarm</t>
  </si>
  <si>
    <t>perimeter offsite alarm</t>
  </si>
  <si>
    <t>equine</t>
  </si>
  <si>
    <t>owned</t>
  </si>
  <si>
    <t>non-owned</t>
  </si>
  <si>
    <t>3.7.1</t>
  </si>
  <si>
    <t>3.7.2</t>
  </si>
  <si>
    <t>3.7.3</t>
  </si>
  <si>
    <t>3.7.4</t>
  </si>
  <si>
    <t>3.7.5</t>
  </si>
  <si>
    <t>helmet</t>
  </si>
  <si>
    <t>boots</t>
  </si>
  <si>
    <t>user groups</t>
  </si>
  <si>
    <t>1) Child abuse prevention training (The Redwoods Group, Inc., Y-USA, or equivalent) is completed by all staff members within 60 days of hire. 
2) Summer staff complete training before they begin camp. 
3) All child-serving volunteers complete a modified abuse prevention training course.</t>
  </si>
  <si>
    <t>1) GOLD MEDAL plus an active protocol that requires adult visitors to prominently display a visitor's pass. 
2) Non-activity staff (e.g., office, maintenance, etc.) wear name tags that identify them as staff. 
3) Resident camps have documented bed-checks each night and there is an on-duty staff member designated as point person for emergencies.</t>
  </si>
  <si>
    <t xml:space="preserve">1) GOLD MEDAL plus there is a policy of never renting or hiring 15-passenger vans that is communicated to all employees. 
2) Initial road tests are consistently given and documented. 
3) All drivers of association owned, rented, or leased vehicles participate in a documented  defensive driving course (e.g., Back to Basics, DDC, or equivalent) at least every 3 years </t>
  </si>
  <si>
    <t>1) GOLD MEDAL plus all drivers who use non-YMCA vehicles on YMCA business meet the GOLD MEDAL criteria for Driver Experience and Driver Qualification listed above. 
2) The association has documentation of current liability insurance on any non-YMCA vehicle used on YMCA business.</t>
  </si>
  <si>
    <t>1) People are only transported in full-sized or mini-school buses, mini-vans, or cars regardless of who owns the vehicle (i.e., whether it is owned, leased, rented, or borrowed). 
2) Mini-buses without dual rear wheels on each side of the vehicle are used only at speeds of  45 mph or slower.</t>
  </si>
  <si>
    <t>1) 12- and 15-passenger vans are or may be used but only with modifications and restrictions in accordance with TRG guidelines and with an existing TRG-approved replacement policy to eliminate them. 
2) Transporting people using SUVs, mini-buses that do not meet school bus criteria, or mini-buses without dual rear wheels on each side of the vehicle at speeds above 45 mph all fall into this category.</t>
  </si>
  <si>
    <t>1) PLATINUM MEDAL expanded to cover all vehicles plus documented pre- and post-trip inspections of all vehicles. 
2) Documented annual safety checks are done for all vehicles. 
3) A single association staff member is responsible for and monitoring branch level oversight.</t>
  </si>
  <si>
    <t xml:space="preserve">GOLD MEDAL plus parents of campers and adult guests sign a document detailing the high-risk activities (e.g., challenge courses, climbing walls, rock climbing, horse riding, archery, marksmanship, boating, skateboarding, in-line skating, BMX riding, mountain biking, cycling, etc.) that includes informed consent wording specific to the activity          </t>
  </si>
  <si>
    <t>Parents of campers and adult guests sign a waiver / release of rights / covenant not to sue document.</t>
  </si>
  <si>
    <t xml:space="preserve">
                      OR, if the explanatory box below is applicable, </t>
  </si>
  <si>
    <t xml:space="preserve">
Assumption of risk and informed consent agreements are required from parents of campers and all adult guests.</t>
  </si>
  <si>
    <t>1) PLATINUM MEDAL plus all contracts are previewed by a qualified person in the corporate management team or corporate counsel. 
2) Contracts with partnering entities do not require indemnification or hold harmless except for actions or inactions of the YMCA itself. 
3) Significant contracts are also reviewed either by TRG risk management or broker.</t>
  </si>
  <si>
    <t>1) GOLD MEDAL plus significant agreements with vendors and contractors require hold-harmless, waiver of rights, and indemnity wording favoring the Y. 
2) Verification of current insurance coverage (workers’ compensation, liability including completed operations/products, and automobile) has been provided to verify funding of the agreement.</t>
  </si>
  <si>
    <t xml:space="preserve">True     False      N A     </t>
  </si>
  <si>
    <t>1) All assembly areas are provided with at least two means of egress, significantly separated from one another, that are sufficient to handle the potential capacity of the space. 
2) No egress pathway goes through the kitchen, boiler room, or similar space. 
3) Doors serving areas with capacities of 100 or more are provided with panic hardware.</t>
  </si>
  <si>
    <t>1) Non-refrigerated foodstuffs are stored in original packaging or in sealed containers separated from cleaning supplies and non-food items. 
2) Any foodstuffs not in an impervious container are stored off the floor (local jurisdiction may require all storage off the floor).</t>
  </si>
  <si>
    <t>EXITS</t>
  </si>
  <si>
    <t>refrigerated goods</t>
  </si>
  <si>
    <t>non-refrigerated goods</t>
  </si>
  <si>
    <t>exits</t>
  </si>
  <si>
    <t>FACILITY</t>
  </si>
  <si>
    <t>assembly/dining</t>
  </si>
  <si>
    <t>exit path</t>
  </si>
  <si>
    <t>exit lighting</t>
  </si>
  <si>
    <t>sleeping quarters</t>
  </si>
  <si>
    <t>smoke detectors</t>
  </si>
  <si>
    <t>dual egress</t>
  </si>
  <si>
    <t>CO detectors</t>
  </si>
  <si>
    <t>EXIT/emergency light</t>
  </si>
  <si>
    <t>fire alarm</t>
  </si>
  <si>
    <t>counselors</t>
  </si>
  <si>
    <t>doors</t>
  </si>
  <si>
    <t>windows</t>
  </si>
  <si>
    <t>no cooking</t>
  </si>
  <si>
    <t>Note name of fire department, whether paid or volunteer, protection class (if available), distance to station, distance to hydrants (if any), main size if available.</t>
  </si>
  <si>
    <t>Briefly describe water supply (source, number and size of reservoirs), water system (piping size, grid or dead-end, number of hydrants), fire equipment (number and class of fire engine, if any), number and training of private fire responders.</t>
  </si>
  <si>
    <r>
      <rPr>
        <sz val="8"/>
        <rFont val="Arial"/>
        <family val="2"/>
      </rPr>
      <t xml:space="preserve">3 </t>
    </r>
    <r>
      <rPr>
        <b/>
        <sz val="20"/>
        <color indexed="12"/>
        <rFont val="Arial"/>
        <family val="2"/>
      </rPr>
      <t xml:space="preserve">   OTHER CAMP PROGRAMS</t>
    </r>
  </si>
  <si>
    <r>
      <rPr>
        <b/>
        <sz val="8"/>
        <rFont val="Arial"/>
        <family val="2"/>
      </rPr>
      <t>5</t>
    </r>
    <r>
      <rPr>
        <b/>
        <sz val="20"/>
        <color indexed="12"/>
        <rFont val="Arial"/>
        <family val="2"/>
      </rPr>
      <t xml:space="preserve">    FACILITY</t>
    </r>
  </si>
  <si>
    <t>5.1.6</t>
  </si>
  <si>
    <t>5.1.7</t>
  </si>
  <si>
    <t>5.2.6</t>
  </si>
  <si>
    <t>5.2.7</t>
  </si>
  <si>
    <t>5.2.8</t>
  </si>
  <si>
    <t>5.2.9</t>
  </si>
  <si>
    <t>5.3</t>
  </si>
  <si>
    <t>5.3.6</t>
  </si>
  <si>
    <t>5.3.7</t>
  </si>
  <si>
    <t xml:space="preserve">GO TO FACILITY </t>
  </si>
  <si>
    <t>GO TO AQUATICS</t>
  </si>
  <si>
    <r>
      <rPr>
        <b/>
        <sz val="8"/>
        <rFont val="Arial"/>
        <family val="2"/>
      </rPr>
      <t>4</t>
    </r>
    <r>
      <rPr>
        <b/>
        <sz val="20"/>
        <color indexed="12"/>
        <rFont val="Arial"/>
        <family val="2"/>
      </rPr>
      <t xml:space="preserve">   OTHER GENERAL CONSIDERATIONS</t>
    </r>
  </si>
  <si>
    <t>7.2</t>
  </si>
  <si>
    <t>7.1.5</t>
  </si>
  <si>
    <t>7.1.4</t>
  </si>
  <si>
    <t>7.1.3</t>
  </si>
  <si>
    <t>7.1.2</t>
  </si>
  <si>
    <t>7.1.1</t>
  </si>
  <si>
    <t>7.1</t>
  </si>
  <si>
    <t>7.2.2</t>
  </si>
  <si>
    <t>7.2.1</t>
  </si>
  <si>
    <t>7.2.3</t>
  </si>
  <si>
    <t>7.2.4</t>
  </si>
  <si>
    <t>7.2.5</t>
  </si>
  <si>
    <t>7.3</t>
  </si>
  <si>
    <t>7.3.1</t>
  </si>
  <si>
    <t>7.3.2</t>
  </si>
  <si>
    <t>7.3.3</t>
  </si>
  <si>
    <t>7.3.4</t>
  </si>
  <si>
    <t>7.3.5</t>
  </si>
  <si>
    <t>7.5</t>
  </si>
  <si>
    <t>7.5.1</t>
  </si>
  <si>
    <t>7.5.2</t>
  </si>
  <si>
    <t>7.5.3</t>
  </si>
  <si>
    <t>7.5.4</t>
  </si>
  <si>
    <t>7.5.5</t>
  </si>
  <si>
    <t>7.6</t>
  </si>
  <si>
    <t>7.6.4</t>
  </si>
  <si>
    <t>7.6.1</t>
  </si>
  <si>
    <t>7.6.2</t>
  </si>
  <si>
    <t>7.6.3</t>
  </si>
  <si>
    <t>7.6.5</t>
  </si>
  <si>
    <t>8.1</t>
  </si>
  <si>
    <t>8.1.1</t>
  </si>
  <si>
    <t>8.1.2</t>
  </si>
  <si>
    <t>8.1.3</t>
  </si>
  <si>
    <t>8.1.4</t>
  </si>
  <si>
    <t>8.1.5</t>
  </si>
  <si>
    <t>8.2</t>
  </si>
  <si>
    <t>8.2.1</t>
  </si>
  <si>
    <t>8.2.2</t>
  </si>
  <si>
    <t>8.2.3</t>
  </si>
  <si>
    <t>8.2.4</t>
  </si>
  <si>
    <t>8.2.5</t>
  </si>
  <si>
    <t>8.2.6</t>
  </si>
  <si>
    <t>8.3</t>
  </si>
  <si>
    <t>8.3.1</t>
  </si>
  <si>
    <t>8.3.2</t>
  </si>
  <si>
    <t>8.3.3</t>
  </si>
  <si>
    <t>8.3.4</t>
  </si>
  <si>
    <t>8.3.5</t>
  </si>
  <si>
    <t>8.4</t>
  </si>
  <si>
    <t>8.4.1</t>
  </si>
  <si>
    <t>8.4.2</t>
  </si>
  <si>
    <t>8.4.3</t>
  </si>
  <si>
    <t>8.4.4</t>
  </si>
  <si>
    <t>8.4.5</t>
  </si>
  <si>
    <t>9.1</t>
  </si>
  <si>
    <t>9.1.1</t>
  </si>
  <si>
    <t>9.1.2</t>
  </si>
  <si>
    <t>9.1.3</t>
  </si>
  <si>
    <t>9.1.4</t>
  </si>
  <si>
    <t>9.1.5</t>
  </si>
  <si>
    <t>9.1.6</t>
  </si>
  <si>
    <t>9.2</t>
  </si>
  <si>
    <t>9.2.1</t>
  </si>
  <si>
    <t>9.2.2</t>
  </si>
  <si>
    <t>9.2.3</t>
  </si>
  <si>
    <t>9.2.4</t>
  </si>
  <si>
    <t>9.2.5</t>
  </si>
  <si>
    <t>GO TO OTHER CONSIDERATIONS</t>
  </si>
  <si>
    <t xml:space="preserve">Documented facility inspections or audits should be completed annually and should be the basis for an action plan; i.e. plans should be developed to address any issues identified. </t>
  </si>
  <si>
    <t>Documented facility inspections or audits are completed annually and are the basis for an action plan; i.e. plans are developed to address any issues identified.</t>
  </si>
  <si>
    <t>off- and on-site</t>
  </si>
  <si>
    <t>2.1.1.6</t>
  </si>
  <si>
    <t>2.1.2.7</t>
  </si>
  <si>
    <t>3.3.6</t>
  </si>
  <si>
    <t>3.4.7</t>
  </si>
  <si>
    <t>storage</t>
  </si>
  <si>
    <t>3.6.1</t>
  </si>
  <si>
    <t>3.6.2</t>
  </si>
  <si>
    <t>3.6.3</t>
  </si>
  <si>
    <t>3.6.4</t>
  </si>
  <si>
    <t>3.6.5</t>
  </si>
  <si>
    <t>8.5</t>
  </si>
  <si>
    <t>8.5.1</t>
  </si>
  <si>
    <t>8.5.2</t>
  </si>
  <si>
    <t>8.5.3</t>
  </si>
  <si>
    <t>8.5.4</t>
  </si>
  <si>
    <t>8.5.5</t>
  </si>
  <si>
    <t>8.5.6</t>
  </si>
  <si>
    <t>2.1.1.1.6</t>
  </si>
  <si>
    <t>7.4.4</t>
  </si>
  <si>
    <t>7.4.5</t>
  </si>
  <si>
    <t>7.4.1</t>
  </si>
  <si>
    <t>7.4.2</t>
  </si>
  <si>
    <t>7.4.3</t>
  </si>
  <si>
    <t>swimming</t>
  </si>
  <si>
    <t>boating</t>
  </si>
  <si>
    <t>test campers</t>
  </si>
  <si>
    <t>test staff</t>
  </si>
  <si>
    <t>mark swimmers</t>
  </si>
  <si>
    <t>PFD non-swim</t>
  </si>
  <si>
    <t>segregate non-swimmers</t>
  </si>
  <si>
    <t>PFD-boat</t>
  </si>
  <si>
    <t>boat &amp; non-swimmers</t>
  </si>
  <si>
    <t>tracking system</t>
  </si>
  <si>
    <t>lifeguards for all programs</t>
  </si>
  <si>
    <t>certifications</t>
  </si>
  <si>
    <t>rescue ready</t>
  </si>
  <si>
    <t>rotation</t>
  </si>
  <si>
    <t>EAP trained</t>
  </si>
  <si>
    <t>in-services</t>
  </si>
  <si>
    <t>quick checks</t>
  </si>
  <si>
    <t>wilderness credentials</t>
  </si>
  <si>
    <t>helmets on cc</t>
  </si>
  <si>
    <t>inspect by</t>
  </si>
  <si>
    <t>inspect date</t>
  </si>
  <si>
    <t>recs done</t>
  </si>
  <si>
    <t>paintball waiver</t>
  </si>
  <si>
    <t>range commander-guns</t>
  </si>
  <si>
    <t>collect spent rounds</t>
  </si>
  <si>
    <t>gun/ammo storage</t>
  </si>
  <si>
    <t>range commander-arrows</t>
  </si>
  <si>
    <t>bow/arrow storage</t>
  </si>
  <si>
    <t>riders helmets</t>
  </si>
  <si>
    <t>riders boots/pants</t>
  </si>
  <si>
    <t>medication locked</t>
  </si>
  <si>
    <t>refrigerated storage</t>
  </si>
  <si>
    <t>other food storage</t>
  </si>
  <si>
    <t>emer lighting</t>
  </si>
  <si>
    <t>2 ways out</t>
  </si>
  <si>
    <t>EXIT sign - 16+</t>
  </si>
  <si>
    <t>fire alarms - 16+</t>
  </si>
  <si>
    <t>counselor duties</t>
  </si>
  <si>
    <t>exterior locks</t>
  </si>
  <si>
    <t>suppression system</t>
  </si>
  <si>
    <t>hood/vent cleaning</t>
  </si>
  <si>
    <t>fire extinguishers</t>
  </si>
  <si>
    <t>contracts</t>
  </si>
  <si>
    <t>applications</t>
  </si>
  <si>
    <t>references</t>
  </si>
  <si>
    <t>training</t>
  </si>
  <si>
    <t>feedback</t>
  </si>
  <si>
    <t>security</t>
  </si>
  <si>
    <t>abuse transportation</t>
  </si>
  <si>
    <t>emergency transportation</t>
  </si>
  <si>
    <t>driver experience</t>
  </si>
  <si>
    <t>driver training</t>
  </si>
  <si>
    <t>personal vehicles</t>
  </si>
  <si>
    <t xml:space="preserve">personal vehicles </t>
  </si>
  <si>
    <t>vehicle type</t>
  </si>
  <si>
    <t>maintenance</t>
  </si>
  <si>
    <t>contract</t>
  </si>
  <si>
    <t>drug Testing</t>
  </si>
  <si>
    <t>emergency O2</t>
  </si>
  <si>
    <t>Emergency transportation sufficient to evacuate the entire camp is available within 30 minutes. It may be kept on or off-site and may be owned, leased, or rented by camp, supplied by user groups, or obtained by prearranged contractual agreement from within the community.</t>
  </si>
  <si>
    <t>Emergency transportation sufficient to evacuate the entire camp is available within 60 minutes. It may be kept on or off-site and may be owned, leased, or rented by camp, supplied by user groups, or obtained by prearranged contractual agreement from within the community.</t>
  </si>
  <si>
    <t>Emergency transportation sufficient to evacuate the entire camp is available within 90 minutes. It may be kept on or off-site and may be owned, leased, or rented by camp, supplied by user groups, or obtained by prearranged contractual agreement from within the community.</t>
  </si>
  <si>
    <t>EMERGENCY TRANSPORT</t>
  </si>
  <si>
    <r>
      <t xml:space="preserve">1) GOLD MEDAL </t>
    </r>
    <r>
      <rPr>
        <i/>
        <sz val="9"/>
        <rFont val="Arial"/>
        <family val="2"/>
      </rPr>
      <t>plus</t>
    </r>
    <r>
      <rPr>
        <sz val="9"/>
        <rFont val="Arial"/>
        <family val="2"/>
      </rPr>
      <t xml:space="preserve"> no personal items or non-guarding items are located on or near the guard stand. 
2) The lifeguards consistently display a professional demeanor and obvious and deliberate scanning behavior (i.e., the lifeguard's head visibly moves in a scanning pattern).</t>
    </r>
  </si>
  <si>
    <t>1) Protocols address the administration of emergency oxygen. 
2) At least lifeguarding staff have been trained.</t>
  </si>
  <si>
    <t>PLATINUM MEDAL with an additional AED available in the immediate aquatic area.</t>
  </si>
  <si>
    <t>1) An AED is located in a clearly identified, easily accessible location in the facility. 
2) There is visual, documented verification of regular routine maintenance.</t>
  </si>
  <si>
    <t>1) Protocols address AED usage. 
2) At least the lifeguarding staff have been trained.</t>
  </si>
  <si>
    <t>PLATINUM MEDAL plus 1) pre-employment (post offer) and 2) random testing for all staff and program volunteers (minimum of 25% of staff tested, 50% of CDL drivers).</t>
  </si>
  <si>
    <t>1) Protocols should address the administration of emergency oxygen. 2) At least lifeguarding staff should be trained. 3) Emergency oxygen should be available at least in the pool area or in the crash kit  with the AED.</t>
  </si>
  <si>
    <t>1) An AED should be located in a clearly identified, easily accessible location in the facility. 2) There should be visual, documented verification of regular routine maintenance.</t>
  </si>
  <si>
    <t>A written, signed application should be required for all paid staff positions that includes 1) an abuse prevention code of conduct and 2) a question regarding prior criminal convictions.</t>
  </si>
  <si>
    <t>Reference checks should be completed and on file for all child-serving staff.</t>
  </si>
  <si>
    <t>1) The staff and volunteers’ abuse prevention code of conduct should be given to all parents of youthful participants. 2) A copy should be also posted on the website.</t>
  </si>
  <si>
    <t>1) The program’s staff-to-child child ratio should always be maintained during transport without counting the driver. 2) If multiple staff are involved they should be scattered throughout the vehicle.</t>
  </si>
  <si>
    <t>Emergency transportation sufficient to evacuate the entire camp should be available within 60 minutes. It may be kept on or off-site and may be owned, leased, or rented by camp, supplied by user groups, or obtained by prearranged contractual agreement from within the community.</t>
  </si>
  <si>
    <t>1) The minimum driver age should be 20 with at least 2 years of driving experience. 2) A current MVR should be evaluated at time of hire or job change using acceptable criteria.</t>
  </si>
  <si>
    <t>There should be an initial generalized driver orientation plus specific hands-on orientation using each of the types of vehicles that the specific driver will drive.</t>
  </si>
  <si>
    <t xml:space="preserve"> Drivers should be required to agree to use only vehicles having current liability insurance on YMCA business (verification or documentation is not required).</t>
  </si>
  <si>
    <t>1) People should only be transported in full-sized or mini-school buses, mini-vans, or cars regardless of who owns the vehicle (i.e., whether it is owned, leased, rented, or borrowed). 2) Mini-buses without dual rear wheels on each side of the vehicle should be used only at speeds of  45 mph or slower.</t>
  </si>
  <si>
    <t>1) Vehicular service that meets manufacturer’s guidelines and applicable statutes should be performed and documented.  2) Vehicular safety inspections that meet all applicable statutes (e.g., annual safety check) should be performed.</t>
  </si>
  <si>
    <t>1) Binding agreements should always be codified in writing. 2) All such contracts should be previewed by the camp director.</t>
  </si>
  <si>
    <t>1) Criminal Background Checks should be required from all jurisdictions in which the applicant has lived or worked during the last five years for all paid staff positions. 2) Department of Justice sex offender registry checks should be run at least annually.</t>
  </si>
  <si>
    <t>communication</t>
  </si>
  <si>
    <t>facilitators</t>
  </si>
  <si>
    <t>3.3.7</t>
  </si>
  <si>
    <t>medications</t>
  </si>
  <si>
    <t>responsibility</t>
  </si>
  <si>
    <t>Skills-appropriate-to-exposure swim testing should be performed and documented for all campers including CITs/LITs.</t>
  </si>
  <si>
    <t>Swim testing should be performed and documented for all staff including volunteers.</t>
  </si>
  <si>
    <t>All campers should be marked according to their swimming skill so that all staff and lifeguards may easily determine a camper's basic competency.</t>
  </si>
  <si>
    <t>Non-swimmers should wear a personal flotation device (PFD) while in any swimming program other than instructional swimming.</t>
  </si>
  <si>
    <t>Non-swimmers should be restricted to defined water areas that are no more than nipple-depth on the non-swimmer in the deepest part of the area.</t>
  </si>
  <si>
    <t>1) All boaters are required to wear a personal flotation device (PFD) while in any boat that is less than 26' in length. 
2) At least non-swimmers must wear PFDs in any boat greater than 26' in length. 
3) There are enough PFDs available and accessible for all who are onboard (including staff).</t>
  </si>
  <si>
    <t>Non-swimmers should be allowed on a boat only with direct staff supervision onboard.</t>
  </si>
  <si>
    <t>1) Camp has a documented, easily checked system for tracking all active participants in swimming and boating activities. 
2) Every participant who checks in is checked out before staff proceed to any other activity; mark NA only if there are no swimming or boating activities.</t>
  </si>
  <si>
    <t>1) Camp has a documented, easily checked system for tracking all active participants in swimming and boating activities. 
2) Every participant who checks in is checked out before staff proceed to any other activity.</t>
  </si>
  <si>
    <t>ensures that every child has a buddy in the water</t>
  </si>
  <si>
    <t>allows only 2-person buddy groups</t>
  </si>
  <si>
    <t>verifies that buddies stay together by having buddy checks</t>
  </si>
  <si>
    <t>Camp should use a Buddy system to account for campers during swimming times that</t>
  </si>
  <si>
    <t>1) There is an established protocol (EAP) for a missing swimmer or boater that is initiated by a clear, distinct, and unique sound that initiates the EAP. 
2) The EAP is documented and trained so that all staff understand their role in an emergency.</t>
  </si>
  <si>
    <r>
      <t xml:space="preserve">1) PLATINUM MEDAL </t>
    </r>
    <r>
      <rPr>
        <i/>
        <sz val="9"/>
        <rFont val="Arial"/>
        <family val="2"/>
      </rPr>
      <t>plus</t>
    </r>
    <r>
      <rPr>
        <sz val="9"/>
        <rFont val="Arial"/>
        <family val="2"/>
      </rPr>
      <t xml:space="preserve"> regular rescue and scanning vigilance drills are held during regular pool aquatic activities using silhouettes, manikin drops, etc.  
2) Regular in-service training is held to prepare guards for the drills - regular means at least quarterly, preferably monthly, for each body of water. 
3) There is documentation of training and drill performance for each lifeguard.</t>
    </r>
  </si>
  <si>
    <r>
      <t xml:space="preserve">1) PLATINUM MEDAL </t>
    </r>
    <r>
      <rPr>
        <i/>
        <sz val="9"/>
        <rFont val="Arial"/>
        <family val="2"/>
      </rPr>
      <t xml:space="preserve">plus </t>
    </r>
    <r>
      <rPr>
        <sz val="9"/>
        <rFont val="Arial"/>
        <family val="2"/>
      </rPr>
      <t>lifeguards are given a 10-minute hourly respite from active guarding.
2) Lifeguards rotate positions at least every 20 minutes.</t>
    </r>
  </si>
  <si>
    <r>
      <t xml:space="preserve">1) The minimum age is 21 with at least 3 years of driving experience. 
2) Initial and annual MVRs are evaluated using criteria equal to or greater than the </t>
    </r>
    <r>
      <rPr>
        <i/>
        <u/>
        <sz val="9"/>
        <rFont val="Arial"/>
        <family val="2"/>
      </rPr>
      <t>good</t>
    </r>
    <r>
      <rPr>
        <sz val="9"/>
        <rFont val="Arial"/>
        <family val="2"/>
      </rPr>
      <t xml:space="preserve"> standard cited in </t>
    </r>
    <r>
      <rPr>
        <i/>
        <u/>
        <sz val="9"/>
        <rFont val="Arial"/>
        <family val="2"/>
      </rPr>
      <t>RMA Driver Selection &amp; Control.</t>
    </r>
  </si>
  <si>
    <t xml:space="preserve">  fire suppression</t>
  </si>
  <si>
    <t>w/inadequate windows</t>
  </si>
  <si>
    <t>Floors that frequently are wet are appropriately sloped and have proper drainage.</t>
  </si>
  <si>
    <t>1) YELLOW FLAG with a designated provider panel. 
2) The closest provider is greater than 5 miles from at least one branch.</t>
  </si>
  <si>
    <t>1) Child abuse prevention training (The Redwoods Group, Inc., Y-USA, or equivalent) should be completed by all staff members within 60 days of hire. 2) Summer staff should complete training before they begin camp. 3) All child-serving volunteers should complete a modified abuse prevention training course.</t>
  </si>
  <si>
    <t>Transportation of staff or program participants should done in appropriate vehicles by properly licensed and trained staff; vendors used should be vetted only after demonstrating that they meet those qualifications.</t>
  </si>
  <si>
    <t xml:space="preserve">Deep-fat fryers, commercial mixers, and meat slicers require special training; the latter is best used with protective stainless-steel mesh or Kevlar gloves. IF ANY OF THESE EXPOSURES EXIST EVALUATE THEM THOROUGHLY AND CRAFT RECOMMENDATION(S) ACCORDINGLY. </t>
  </si>
  <si>
    <t>1) All boaters are required to wear a personal flotation device (PFD) while in any boat that is less than 26' in length. 
2) At least non-swimmers must wear PFDs in any boat greater than 26' in length. 
3) There are enough PFDs available and accessible for all who are onboard (including staff); it is permissible to require all to wear a PFD; mark NA if there are no boating activities.</t>
  </si>
  <si>
    <t>negligible</t>
  </si>
  <si>
    <t>navigable waters</t>
  </si>
  <si>
    <t>uncontrolled non-navigable waters</t>
  </si>
  <si>
    <t>1) Lifeguards are provided for all aquatic programs. 2) All aquatic programs are supervised by at least two lifeguards, one of whom is 18 or older. 3) There is a certified, experienced supervisor for each aquatic program who is at least 21. 4) The  minimum lifeguard-to-swimmer ratio is 1 to 25.</t>
  </si>
  <si>
    <t>Lifeguards should have current approved certifications (lifeguard, CPR, FA) appropriate for the type of water they are guarding (pool, brown-water, surf).</t>
  </si>
  <si>
    <t>1) Lifeguards should be provided for all aquatic programs. 
2) All aquatic programs should be supervised by at least two lifeguards, one of whom is 18 or older. 
3) There should be a certified, experienced supervisor for each aquatic program who is at least 21. 
4) The  minimum lifeguard-to-swimmer ratio should be 1 to 25.</t>
  </si>
  <si>
    <t>Active lifeguards should be rescue ready - properly positioned, properly attired (identifying shirt/uniform, hat/glasses for protection against sun/glare, and properly equipped (rescue tube, fanny pack, whistle)."</t>
  </si>
  <si>
    <t>1) Lifeguards should rotate positions at least every 30 minutes . 
2) Lifeguards should have at least 10 minutes of non-guarding duties (or rest) for every hour of active scanning.</t>
  </si>
  <si>
    <t>The aquatic EAP should be clearly stated, thoroughly trained, and frequently tested/drilled.</t>
  </si>
  <si>
    <t>Aquatic in-services should be the equivalent of 1-hour weekly during the active season; some of that time may be self-directed in a resident camp.</t>
  </si>
  <si>
    <t>1) Aquatic Quick Checks (or equivalent) should be routinely used to monitor lifeguard scanning performance. 
2) There should be lifeguard accountability for individual performance.</t>
  </si>
  <si>
    <t xml:space="preserve">   RESIDENT CAMP</t>
  </si>
  <si>
    <t>no 15PV T&amp;T</t>
  </si>
  <si>
    <t>no 15PV Other</t>
  </si>
  <si>
    <t>Wilderness credentials should held by all staff of wilderness and extended aquatic trips.</t>
  </si>
  <si>
    <t>1) Regular planned communication is maintained - its failure initiates the EAP. 
2) Emergency communications tools are carried by the travelers.</t>
  </si>
  <si>
    <t>15 passenger vans should not used for transporting campers on Trip and Travel ventures.</t>
  </si>
  <si>
    <t>A) Regular planned communication should be maintained on Trip and Travel ventures and Its failure initiates the EAP. B) Emergency communications tools are carried by the travelers.</t>
  </si>
  <si>
    <t>15 passenger vans should not used for transporting campers on overnight adventure trips.</t>
  </si>
  <si>
    <t>Helmets should always be worn by both campers and staff when participating in challenge course activities.</t>
  </si>
  <si>
    <t>Recommendations that arise from challenge course inspections should be completed before re-opening the course for the year.</t>
  </si>
  <si>
    <t>none issued</t>
  </si>
  <si>
    <t>Challenge courses should be inspected only by a certified individuals.</t>
  </si>
  <si>
    <t>Challenge courses should be inspected before the start of each season - at least annually.</t>
  </si>
  <si>
    <t>All facilitators used for challenge courses should be certified by a recognized authority.</t>
  </si>
  <si>
    <t>The rifle range should have</t>
  </si>
  <si>
    <t>posted rules with clear boundaries and clear communications</t>
  </si>
  <si>
    <t>1) a Range Commander  2) a visibly defined firing line</t>
  </si>
  <si>
    <t>The archery range should have</t>
  </si>
  <si>
    <t>bows and arrows stored under lock and key</t>
  </si>
  <si>
    <t>Riders (including staff) in equestrian programs should always wear helmets.</t>
  </si>
  <si>
    <t>Riders (including staff) in equestrian programs should always wear boots and long pants.</t>
  </si>
  <si>
    <t>Medications should always be kept locked, secure, and accessible only to those who administer them.</t>
  </si>
  <si>
    <t>All assembly areas should be provided with illuminated EXIT signs and emergency lighting to illuminate the pathway to each means of egress.</t>
  </si>
  <si>
    <t>There should be smoke detectors in every  camper/guest sleeping room.</t>
  </si>
  <si>
    <t>There should be two means of egress from every camper/guest sleeping room (an openable window will suffice if large enough and the room is on the grade level).</t>
  </si>
  <si>
    <t>Carbon monoxide detectors should be provided for all camper/guest sleeping rooms that have fossil fuel heat or water heaters in or serving the space.</t>
  </si>
  <si>
    <t>Camper sleeping quarters should always A) have counselors sleeping in them and B) be arranged so that the counselors have a view of all beds (i.e., there are no hidden nooks or corners).</t>
  </si>
  <si>
    <t>Fire extinguishers appropriate for the exposure should be provided (SPECIFICS NEEDED).</t>
  </si>
  <si>
    <t>no hood &amp; vent</t>
  </si>
  <si>
    <t>list61a</t>
  </si>
  <si>
    <t>|</t>
  </si>
  <si>
    <t>V</t>
  </si>
  <si>
    <t>The cooking hood and vent in the kitchen should be professionally cleaned at least annually</t>
  </si>
  <si>
    <t>The fire suppression system that protects the cooking surfaces, hood, and vent should be serviced by a qualified vendor at least annually (semiannually if a deep fat fryer or significant cooking beyond the summer season is present).</t>
  </si>
  <si>
    <t>5.3.5.1</t>
  </si>
  <si>
    <t>CAMPING RECOMMENDATION WEIGHT</t>
  </si>
  <si>
    <t>CHALLENGE COURSE</t>
  </si>
  <si>
    <t>RENTAL GROUPS</t>
  </si>
  <si>
    <t>SLEEPING ACCOMODATION</t>
  </si>
  <si>
    <t>list100</t>
  </si>
  <si>
    <t xml:space="preserve">  test campers</t>
  </si>
  <si>
    <t xml:space="preserve">  test staff</t>
  </si>
  <si>
    <t xml:space="preserve">  mark swimmers</t>
  </si>
  <si>
    <t xml:space="preserve">  segregate non-swimmers</t>
  </si>
  <si>
    <t xml:space="preserve">  PFD non-swim</t>
  </si>
  <si>
    <t xml:space="preserve">  PFD-boat</t>
  </si>
  <si>
    <t xml:space="preserve">  boat &amp; non-swimmers</t>
  </si>
  <si>
    <t xml:space="preserve">  tracking system</t>
  </si>
  <si>
    <t xml:space="preserve">  buddy system</t>
  </si>
  <si>
    <t xml:space="preserve">  EAP</t>
  </si>
  <si>
    <t xml:space="preserve">  lifeguards for all programs</t>
  </si>
  <si>
    <t xml:space="preserve">  certifications</t>
  </si>
  <si>
    <t xml:space="preserve">  rescue ready</t>
  </si>
  <si>
    <t xml:space="preserve">  rotation</t>
  </si>
  <si>
    <t xml:space="preserve">  EAP trained</t>
  </si>
  <si>
    <t xml:space="preserve">  in-services</t>
  </si>
  <si>
    <t xml:space="preserve">  quick checks</t>
  </si>
  <si>
    <t xml:space="preserve">  wilderness credentials</t>
  </si>
  <si>
    <t xml:space="preserve">  communication</t>
  </si>
  <si>
    <t xml:space="preserve">  no 15PV T&amp;T</t>
  </si>
  <si>
    <t>OVERNIGHT TRAVEL</t>
  </si>
  <si>
    <t>3.1.1.1</t>
  </si>
  <si>
    <t>3.1.1.2</t>
  </si>
  <si>
    <t>3.1.1.3</t>
  </si>
  <si>
    <t>3.1.1.3.1</t>
  </si>
  <si>
    <t>3.1.1.4</t>
  </si>
  <si>
    <t>3.1.1.4.1</t>
  </si>
  <si>
    <t>3.1.1.5</t>
  </si>
  <si>
    <t>3.1.1.5.1</t>
  </si>
  <si>
    <t>3.1.2.1</t>
  </si>
  <si>
    <t>3.1.2.2</t>
  </si>
  <si>
    <t>3.1.2.3</t>
  </si>
  <si>
    <t>3.1.2.4</t>
  </si>
  <si>
    <t>3.1.2.5</t>
  </si>
  <si>
    <t>3.1.2.5.1</t>
  </si>
  <si>
    <t>3.2.7</t>
  </si>
  <si>
    <t>3.7.6</t>
  </si>
  <si>
    <t>3.7.7</t>
  </si>
  <si>
    <t>3.7.8</t>
  </si>
  <si>
    <t>For the various groups explain who is responsible for child supervision and abuse prevention, etc.; comment on contracts used, insurance provisions,  provision against property damage or loss, etc; IF THE OUTSIDE GROUP IS RESPONSIBLE FOR ANY OF THE CATEGORIES LISTED IN THIS SECTION PLEASE ENTER A RECOMMENDATION TO CORRECT THE BEHAVIOR IN THE BOX AT LINE 3.7.8.</t>
  </si>
  <si>
    <t>3.2.5a</t>
  </si>
  <si>
    <t>3.2.5b</t>
  </si>
  <si>
    <t>3.6.2a</t>
  </si>
  <si>
    <t>3.6.2b</t>
  </si>
  <si>
    <t>TOTAL</t>
  </si>
  <si>
    <t xml:space="preserve">  no 15PV Other</t>
  </si>
  <si>
    <t xml:space="preserve">  helmets on cc</t>
  </si>
  <si>
    <t xml:space="preserve">  inspect date</t>
  </si>
  <si>
    <t xml:space="preserve">  recs done</t>
  </si>
  <si>
    <t xml:space="preserve">  inspection qualification</t>
  </si>
  <si>
    <t xml:space="preserve">  facilitator qualification</t>
  </si>
  <si>
    <t xml:space="preserve">  range commander-guns</t>
  </si>
  <si>
    <t xml:space="preserve">  posted rules</t>
  </si>
  <si>
    <t xml:space="preserve">  collect spent rounds</t>
  </si>
  <si>
    <t xml:space="preserve">  gun/ammo storage</t>
  </si>
  <si>
    <t xml:space="preserve">  range commander-archery</t>
  </si>
  <si>
    <t xml:space="preserve">  bow/arrow storage</t>
  </si>
  <si>
    <t xml:space="preserve">  riders helmets</t>
  </si>
  <si>
    <t xml:space="preserve">  riders boots/pants</t>
  </si>
  <si>
    <t xml:space="preserve">  medication locked</t>
  </si>
  <si>
    <t xml:space="preserve">  waiver</t>
  </si>
  <si>
    <t xml:space="preserve">  RM opinion</t>
  </si>
  <si>
    <t>LG all programs</t>
  </si>
  <si>
    <t xml:space="preserve">True   False           </t>
  </si>
  <si>
    <t>list 75</t>
  </si>
  <si>
    <t>select - 5 is highest</t>
  </si>
  <si>
    <t>1 on a scale 1 to 5</t>
  </si>
  <si>
    <t>2 on a scale 1 to 5</t>
  </si>
  <si>
    <t>3 on a scale 1 to 5</t>
  </si>
  <si>
    <t>4 on a scale 1 to 5</t>
  </si>
  <si>
    <t>5 on a scale 1 to 5</t>
  </si>
  <si>
    <t>future?</t>
  </si>
  <si>
    <t>CAMP AQUATICS</t>
  </si>
  <si>
    <t>OVERNIGHT TRIPS</t>
  </si>
  <si>
    <t>RMopinion</t>
  </si>
  <si>
    <t>furure?</t>
  </si>
  <si>
    <t>insp cert</t>
  </si>
  <si>
    <t>fac cert</t>
  </si>
  <si>
    <t>RMO</t>
  </si>
  <si>
    <t>built by</t>
  </si>
  <si>
    <t>SLEEPING ACCOMODATIONS</t>
  </si>
  <si>
    <t xml:space="preserve">  refrigerated goods</t>
  </si>
  <si>
    <t xml:space="preserve">  non-refrigerated goods</t>
  </si>
  <si>
    <t xml:space="preserve">  exit path</t>
  </si>
  <si>
    <t xml:space="preserve">  exit lighting</t>
  </si>
  <si>
    <t xml:space="preserve">  smoke detectors</t>
  </si>
  <si>
    <t xml:space="preserve">  dual egress</t>
  </si>
  <si>
    <t xml:space="preserve">  CO detectors</t>
  </si>
  <si>
    <t xml:space="preserve">  EXIT/emergency light</t>
  </si>
  <si>
    <t xml:space="preserve">  fire alarm</t>
  </si>
  <si>
    <t xml:space="preserve">  counselors</t>
  </si>
  <si>
    <t xml:space="preserve">  doors</t>
  </si>
  <si>
    <t xml:space="preserve">  windows</t>
  </si>
  <si>
    <t>fire protection</t>
  </si>
  <si>
    <t>water supply</t>
  </si>
  <si>
    <t>fire responder</t>
  </si>
  <si>
    <t>wild fire potential</t>
  </si>
  <si>
    <t>fire sprinklers</t>
  </si>
  <si>
    <t>ss contract</t>
  </si>
  <si>
    <t>ss service</t>
  </si>
  <si>
    <t>hood &amp; vent</t>
  </si>
  <si>
    <t xml:space="preserve">  water supply</t>
  </si>
  <si>
    <t xml:space="preserve">  fire responder</t>
  </si>
  <si>
    <t xml:space="preserve">  wild fire potential</t>
  </si>
  <si>
    <t xml:space="preserve">  fire sprinklers</t>
  </si>
  <si>
    <t xml:space="preserve">  suppression system</t>
  </si>
  <si>
    <t xml:space="preserve">  ss contract</t>
  </si>
  <si>
    <t xml:space="preserve">  ss service</t>
  </si>
  <si>
    <t xml:space="preserve">  hood &amp; vent</t>
  </si>
  <si>
    <t xml:space="preserve">  fire extinguishers</t>
  </si>
  <si>
    <t>GUEST SLEEPING ACCOMMODATIONS</t>
  </si>
  <si>
    <t>select after completing</t>
  </si>
  <si>
    <t xml:space="preserve"> # OWNED</t>
  </si>
  <si>
    <t xml:space="preserve"> # NON-OWNED (leased, rented,  borrowed)</t>
  </si>
  <si>
    <t>SPECIAL NEEDS GROUPS</t>
  </si>
  <si>
    <t>1) Identify water district, presence of hydrants, water main sizes if possible.  
2) Note number and size of reservoirs, presence of hydrants, and water main sizes, if possible.</t>
  </si>
  <si>
    <t>Identify water district, presence of hydrants, and water main sizes if possible.</t>
  </si>
  <si>
    <t>Note number and size of reservoirs, presence of hydrants, and water main sizes if possible.</t>
  </si>
  <si>
    <t>YELLOW FLAG plus emergency oxygen is available at least in the pool area or in the crash kit  with the AED. NOTE: if there is no pool this level is satisfied by Yellow Flag criteria.</t>
  </si>
  <si>
    <t>none at all</t>
  </si>
  <si>
    <t xml:space="preserve">  trip &amp; travel</t>
  </si>
  <si>
    <t xml:space="preserve">  other overnight</t>
  </si>
  <si>
    <t>Paintball activity should utilize a specific waiver wherein the participant A) is informed of potential risks and outcomes, B) holds the YMCA harmless, C) indemnifies the YMCA against any loss arising from his/her injury. If the participant is under 18 both parents should be required to sign.</t>
  </si>
  <si>
    <t>not inspected</t>
  </si>
  <si>
    <t>has buddy checks at regular enough intervals to insure that buddies are staying together and watching one another; generally this is approximately every every 5 to 10 minutes.</t>
  </si>
  <si>
    <t>1) Child abuse prevention training should be completed by all paid staff members and all child-serving volunteers within 60 days of hire. 2) summer staff should complete training before they begin camp.</t>
  </si>
  <si>
    <t>1) Parental feed-back should be actively solicited by placing the staff and volunteers’ abuse prevention code of conduct in the hands of each participant's parents. 2) The staff and volunteers’ abuse prevention code of conduct should be posted on the website or a prominent bulletin board.</t>
  </si>
  <si>
    <t>1) Windows should provided and kept clear to allow vision into childcare areas. 2) All doors to areas that are not actively in use should be locked. 3) Undocumented sweeps of all locker rooms should be made at least every 30 minutes.</t>
  </si>
  <si>
    <t>The age at which unaccompanied children may be alone in the building 1) should clearly posted and 2) should be listed on the web page and/or in printed materials.</t>
  </si>
  <si>
    <t>1) Protocols should prevent a staff member from being alone at an off-site with a child. 2) Any childcare, after-school care, camp, and child watch location in a branch facility should be in highly visible areas with designated drop-off/check-in and pick-up/check-out protocols.</t>
  </si>
  <si>
    <t xml:space="preserve">OPTION 1: The program’s staff-to-child child ratio should always be maintained during transport without counting the driver and if multiple staff are involved they are scattered throughout the vehicle. 
OR
OPTION 2: A procedure should be established to verify that all children who got into the vehicle also got out of the vehicle at the appropriate destination (roll call, check list, etc.); the procedure should also include driver verification of departures via phone or radio. (only for vehicles used on regular routes less than 10 miles long with a single staff person). 
</t>
  </si>
  <si>
    <t>1) On-duty lifeguards should always be rescue ready, i.e., identified by shirt, with rescue tube, PPE, and whistle on their person. 2) On-duty lifeguards should be able to see their entire area of responsibility from their position in an elevated chair or on the deck. 3) There are no standard height chairs available for lifeguard use.</t>
  </si>
  <si>
    <t>1) Lifeguards should not be involved in any personal activities that might distract them from their scanning duties. 2) A protocol should be implemented to hold lifeguards accountable for undesirable behavior.</t>
  </si>
  <si>
    <t>1) Every lifeguard can explain the meaning of scanning in an aquatic setting. 2) The 10/10 or 10/20 rule is familiar to the guards and is the clearly stated policy of the association.</t>
  </si>
  <si>
    <t>All children who do not pass the swim test or who refuse to be tested 1) should be required to wear a US Coast Guard approved Personal Flotation Device (PFD) and 2) should have a caregiver close enough to control or stop activity when necessary (i.e., in the water no more than three of the child’s body lengths from the child.</t>
  </si>
  <si>
    <t>1) Lifeguards should not be scheduled for scanning duties for more than exceed two hours without at least a 10-minute break.  2) A qualified replacement should be available for temporary biological or emergency breaks the lifeguard may need.</t>
  </si>
  <si>
    <t>1) The front desk staff should be aware of their role in an aquatic emergency and should be included in aquatic emergency drills. 2)  The emergency response should be initiated directly from the managed body of water area using non-verbal auditory technology (i.e., horn, buzzer, etc.) instead of a telephone or walkie-talkie (an additional visual display is acceptable).</t>
  </si>
  <si>
    <t>1) Pool ladders should be securely anchored; drains should not pose entrapment hazards; depth markers should be clearly visible; the center drain should be visible from the surface; the deck should be free of slip/fall hazards.  2) A section of the pool that is no deeper than 48” should be defined by floating rope or similar physical distinction.  3) The deck should be wide enough to allow guarding and victim extrication from all sides; the pool decking should have slip resistant materials or coatings.</t>
  </si>
  <si>
    <t>1) Lifeguard, CPR, and first aid certifications should be current and should be accepted only from nationally accredited agencies. 2)  New employees should receive a facility orientation that includes the emergency action plan; lifeguard, CPR, and first aid skills should be tested and approved prior to the individual's first lifeguarding shift.</t>
  </si>
  <si>
    <t>1) All required certifications should be documented before an individual is used as a lifeguard.  2) A staff person should be specifically responsible for aquatics at each branch.  3) Copies of all required certifications (e.g., lifeguard, CPR, first aid, and any others mandated by local or state ordinance) should be on file and available for review.</t>
  </si>
  <si>
    <t>1) All drivers should be at least 20 years old and should have a minimum of two years of driving experience. 2) A current MVR should be evaluated before hiring or placing into a driving position.</t>
  </si>
  <si>
    <t>1) All drivers should receive a generalized driver training plus specific hands-on orientation for each of the types of vehicles that the driver will use. 2) A policy of never renting or hiring 15-passenger vans should be communicated to all employees at time of hire with annual reminders. 3) Initial road tests should be given and documented for all drivers. 4) All drivers of association owned, rented, or leased vehicles should participate in a documented  defensive driving course (e.g., Back to Basics, DDC, or equivalent) at least every 3 years.</t>
  </si>
  <si>
    <t>1) A policy that prohibits transporting program participants in vehicles not owned, leased, or rented by the YMCA should be implemented. 2) All drivers should be required to agree that they will only use vehicles having current liability insurance while on YMCA business (verification or documentation is not required).</t>
  </si>
  <si>
    <t>1) Any sauna that is inside a building and does not have an infra-red heat source should (a) be provided with automatic sprinkler protection using a high-temperature head; (b) have any wood that shows signs of pyrolytic decomposition charring) replaced. 2) Staff should check on individuals who are in the sauna at least every 30 minutes.</t>
  </si>
  <si>
    <t xml:space="preserve">1) A comprehensive written safety program should be implemented. 2) The comprehensive written safety program should be reviewed with employees at orientation and subsequently when amended. 3) The comprehensive written safety program should be shared with and accessible to all employees. </t>
  </si>
  <si>
    <t xml:space="preserve">1) Safe lifting techniques should be reviewed in the initial orientation. 2) Written job-specific lifting techniques should be included in the employee and/or safety manual that all employees receive and acknowledge by signature. </t>
  </si>
  <si>
    <t xml:space="preserve">1) A written hazard communication program should be implemented. 2) Maintenance, grounds, and aquatic employees should receive appropriate written hazard communication training. 3) MSDSs should be current, organized, and kept in a location accessible to the affected employees. </t>
  </si>
  <si>
    <t xml:space="preserve">1) Written blood borne pathogen procedures should be implemented. 2) Childcare workers, lifeguards, coaches and officials should receive documented blood borne pathogen protection training in universal precautions that includes handling blood and other bodily fluids. </t>
  </si>
  <si>
    <t xml:space="preserve">1) Lifeguards and licensed childcare and after-school care staff should receive first aid and CPR training before performing those functions. 2) Fitness and other programming staff should receive first aid and CPR training within 60 days of hire. </t>
  </si>
  <si>
    <t>no system</t>
  </si>
  <si>
    <t>list59b</t>
  </si>
  <si>
    <t>no responder</t>
  </si>
  <si>
    <t>list74a</t>
  </si>
  <si>
    <t>all bldgs</t>
  </si>
  <si>
    <t>major bldgs</t>
  </si>
  <si>
    <t>some bldgs</t>
  </si>
  <si>
    <t>hv service</t>
  </si>
  <si>
    <t xml:space="preserve">Contractors performing work or duties on YMCA premises should be required to provide certificates of insurance and should be given 1099 forms if required by IRS regulations. </t>
  </si>
  <si>
    <r>
      <t xml:space="preserve">VEHICLE TYPE </t>
    </r>
    <r>
      <rPr>
        <sz val="8"/>
        <rFont val="Arial"/>
        <family val="2"/>
      </rPr>
      <t>- 12-PASSENGER OR OTHER EXTENDED VANS ARE CONSIDERED AS 15-PASSENGER VANS</t>
    </r>
  </si>
  <si>
    <t>The staff and volunteers’ abuse prevention code of conduct. is available upon request for parents and program participants OR is posted on the website and/or on a bulletin board in the branches.</t>
  </si>
  <si>
    <t>Child abuse prevention training status is unknown or training is not provided.</t>
  </si>
  <si>
    <t>Child abuse prevention training is completed by all staff members who work with kids within 90 days of hire.</t>
  </si>
  <si>
    <t>1) Child abuse prevention training (The Redwoods Group, Inc., Y-USA, or equivalent) is completed by all paid staff members and all child-serving volunteers within 60 days of hire. 
2) Summer staff complete training before they begin camp.</t>
  </si>
  <si>
    <r>
      <t xml:space="preserve">GOLD MEDAL </t>
    </r>
    <r>
      <rPr>
        <i/>
        <sz val="9"/>
        <rFont val="Arial"/>
        <family val="2"/>
      </rPr>
      <t>plus</t>
    </r>
    <r>
      <rPr>
        <sz val="9"/>
        <rFont val="Arial"/>
        <family val="2"/>
      </rPr>
      <t xml:space="preserve"> a documented annual refresher course (internal, Praesidium, or other) is completed by all staff (paid or volunteer).</t>
    </r>
  </si>
  <si>
    <t>Any use or non-use of CBCs that does not meet at least the Yellow Flag criteria above.</t>
  </si>
  <si>
    <r>
      <t xml:space="preserve">GOLD MEDAL </t>
    </r>
    <r>
      <rPr>
        <i/>
        <sz val="9"/>
        <rFont val="Arial"/>
        <family val="2"/>
      </rPr>
      <t>expanded</t>
    </r>
    <r>
      <rPr>
        <sz val="9"/>
        <rFont val="Arial"/>
        <family val="2"/>
      </rPr>
      <t xml:space="preserve"> to include all contractors who regularly interact with members or participants (e.g., martial arts, masseuse, personal trainers, lifeguards, etc.).</t>
    </r>
  </si>
  <si>
    <t>Reference checks are not completed.</t>
  </si>
  <si>
    <t>Reference checks are sometimes, but not always completed.</t>
  </si>
  <si>
    <r>
      <t xml:space="preserve">1) GOLD MEDAL </t>
    </r>
    <r>
      <rPr>
        <i/>
        <sz val="9"/>
        <rFont val="Arial"/>
        <family val="2"/>
      </rPr>
      <t>plus</t>
    </r>
    <r>
      <rPr>
        <sz val="9"/>
        <rFont val="Arial"/>
        <family val="2"/>
      </rPr>
      <t xml:space="preserve"> three documented reference checks for all paid staff (full and part-time). 
2) Independent contractors who directly serve members or program participants.</t>
    </r>
  </si>
  <si>
    <r>
      <t xml:space="preserve">1) PLATINUM MEDAL </t>
    </r>
    <r>
      <rPr>
        <i/>
        <sz val="9"/>
        <rFont val="Arial"/>
        <family val="2"/>
      </rPr>
      <t>plus</t>
    </r>
    <r>
      <rPr>
        <sz val="9"/>
        <rFont val="Arial"/>
        <family val="2"/>
      </rPr>
      <t xml:space="preserve"> three documented reference checks for child-serving volunteers. 
2) One of the references for each work or volunteer applicant is a family member.</t>
    </r>
  </si>
  <si>
    <t>Any use of applications that does not meet at least Yellow Flag criteria above, including any use of resumes without completed signed applications.</t>
  </si>
  <si>
    <r>
      <t xml:space="preserve">GOLD MEDAL </t>
    </r>
    <r>
      <rPr>
        <i/>
        <sz val="9"/>
        <rFont val="Arial"/>
        <family val="2"/>
      </rPr>
      <t>plus</t>
    </r>
    <r>
      <rPr>
        <sz val="9"/>
        <rFont val="Arial"/>
        <family val="2"/>
      </rPr>
      <t xml:space="preserve"> a similar written application is required of program and child-serving volunteers.</t>
    </r>
  </si>
  <si>
    <r>
      <t xml:space="preserve">1) GOLD MEDAL </t>
    </r>
    <r>
      <rPr>
        <i/>
        <sz val="9"/>
        <rFont val="Arial"/>
        <family val="2"/>
      </rPr>
      <t>plus</t>
    </r>
    <r>
      <rPr>
        <sz val="9"/>
        <rFont val="Arial"/>
        <family val="2"/>
      </rPr>
      <t xml:space="preserve"> protocols prevent on-site staff members from being alone with children in a childcare, after-school care, camp, or child watch situation. 
2) On-site childcare and/or school-aged care-school areas of the facility are inaccessible to the general public (e.g., entry via keypad, separate external door, or some other means of limiting access to parents and authorized staff) - child watch is </t>
    </r>
    <r>
      <rPr>
        <i/>
        <sz val="9"/>
        <rFont val="Arial"/>
        <family val="2"/>
      </rPr>
      <t>not</t>
    </r>
    <r>
      <rPr>
        <sz val="9"/>
        <rFont val="Arial"/>
        <family val="2"/>
      </rPr>
      <t xml:space="preserve"> in the secure area as members must drop off and pick up their children.</t>
    </r>
  </si>
  <si>
    <t>1) Protocols prevent a staff member from being alone at an off-site with a child. 
2) All childcare, after-school care, camp, and child watch locations in a branch facility are in highly visible areas with designated drop-off/check-in and pick-up/check-out protocols.</t>
  </si>
  <si>
    <t>Each open managed body of water is actively guarded at all times by at least one certified lifeguard; i.e., not only is there always a guard, but the individual is certified, even if s/he is only providing temporary stand-in service (e.g., providing a biological, rest, or other break).</t>
  </si>
  <si>
    <r>
      <t xml:space="preserve">PLATINUM MEDAL </t>
    </r>
    <r>
      <rPr>
        <i/>
        <sz val="9"/>
        <rFont val="Arial"/>
        <family val="2"/>
      </rPr>
      <t>plus</t>
    </r>
    <r>
      <rPr>
        <sz val="9"/>
        <rFont val="Arial"/>
        <family val="2"/>
      </rPr>
      <t xml:space="preserve"> no ancillary duties (e.g., teaching swim lessons, water testing, moving lap lines, signing in guests, cleaning, equipment maintenance, recording usage, etc.) are allowed to detract from active scanning.</t>
    </r>
  </si>
  <si>
    <t>GOLD MEDAL plus non-swimming children are only allowed in areas of water where the maximum depth is above their nipple line 
1) while wearing a USCG-approved personal flotation device (PFD) and 
2) when a caregiver is close enough to control or stop activity when necessary (defined as no more than three of the child’s body lengths if the child is wearing an appropriate PFD).</t>
  </si>
  <si>
    <t>Documented service that meets manufacturer’s guidelines and applicable statutes plus safety inspections that meet all applicable statutes (e.g., annual safety check).</t>
  </si>
  <si>
    <r>
      <t xml:space="preserve">PLATINUM MEDAL </t>
    </r>
    <r>
      <rPr>
        <i/>
        <sz val="9"/>
        <rFont val="Arial"/>
        <family val="2"/>
      </rPr>
      <t xml:space="preserve">with </t>
    </r>
    <r>
      <rPr>
        <sz val="9"/>
        <rFont val="Arial"/>
        <family val="2"/>
      </rPr>
      <t>two emergency oxygen response units in the facility - one in aquatics and one elsewhere.</t>
    </r>
  </si>
  <si>
    <t>Explain any NA, e.g., regarding EXIT requirements, capacity less than 50.</t>
  </si>
  <si>
    <t>PLATINUM MEDAL plus all the agreements include indemnification or arbitration clauses; documents are reviewed either by TRG risk management or broker (this level is not available for OPTION B attainment of lower levels, i.e., if EXPLANATORY box is checked).</t>
  </si>
  <si>
    <t xml:space="preserve">
                      OR, if the explanatory box below is applicable, 
OPTION B GOLD MEDAL plus parents of campers and adult guests sign a document detailing the high-risk activities (e.g., challenge courses, climbing walls, rock climbing, horse riding, archery, marksmanship, boating, skateboarding, in-line skating, BMX riding, mountain biking, cycling, etc.) that includes informed consent wording specific to the activity.</t>
  </si>
  <si>
    <t>4.2.2.</t>
  </si>
  <si>
    <t>4.2.4.</t>
  </si>
  <si>
    <t>8.1.6</t>
  </si>
  <si>
    <t>8.4.6</t>
  </si>
  <si>
    <t>Emergency transportation sufficient to evacuate the entire camp is always available and kept on-site. It may be owned, leased, rented, or supplied by user groups as long as it is immediately available.</t>
  </si>
  <si>
    <t>Emergency transportation sufficient to evacuate the entire camp is not necessarily available.</t>
  </si>
  <si>
    <t>4.5</t>
  </si>
  <si>
    <t>4.5.1</t>
  </si>
  <si>
    <t>4.5.2</t>
  </si>
  <si>
    <t>4.5.3</t>
  </si>
  <si>
    <t>4.5.4</t>
  </si>
  <si>
    <t>4.5.5</t>
  </si>
  <si>
    <t>7.6.6</t>
  </si>
  <si>
    <t>2.13.7</t>
  </si>
  <si>
    <t>pool UV system</t>
  </si>
  <si>
    <t>guard certification</t>
  </si>
  <si>
    <t>guard professionalism</t>
  </si>
  <si>
    <t>lifesaving systems</t>
  </si>
  <si>
    <t>aquatic training</t>
  </si>
  <si>
    <t>drills / documentation</t>
  </si>
  <si>
    <t>VGB Act compliance</t>
  </si>
  <si>
    <t>EMERGENCY TRANSPORTATION</t>
  </si>
  <si>
    <t>1) PLATINUM MEDAL with all staff wearing name tags during transition days. 
2) Resident camps have security patrols during the nights.</t>
  </si>
  <si>
    <t>YELLOW FLAG plus staff are clearly identifiable at a distance (e.g., by shirts, etc.).</t>
  </si>
  <si>
    <t>Unauthorized access to camp is possible but the probability is minimized by remote location, distance from the roadway, lack of footpaths, etc.</t>
  </si>
  <si>
    <t>Unauthorized access to camp is relatively easy because of adjacent roads and footpaths OR there is no fencing or other significant physical barrier to access.</t>
  </si>
  <si>
    <t>There should be a written, signed, drug-free workplace policy that includes DOT-compatible testing of any CDL drivers.</t>
  </si>
  <si>
    <t>The cooking surfaces and the hood and vent associated with them should be provided with a fire suppression system meeting NFPA 96.</t>
  </si>
  <si>
    <t>suppression system service</t>
  </si>
  <si>
    <t>1) Staff should be clearly identifiable at a distance (e.g., by shirts, etc.). 2) If corrective measures are needed to control access insert them here.</t>
  </si>
  <si>
    <t>guns and ammunition stored in separate locked cabinets, closets, or locations</t>
  </si>
  <si>
    <t>group catered by outside entity</t>
  </si>
  <si>
    <t>(a) Non-refrigerated foodstuffs should be stored in original packaging or in sealed containers separated from cleaning supplies and non-food items.  (b) Any foodstuffs not in an impervious container should be stored off the floor (local jurisdiction may require all storage off the floor).</t>
  </si>
  <si>
    <t>(a) All assembly areas should have at least two means of egress, significantly separated from one another, that are sufficient to handle the potential capacity of the space.  (b) No egress pathway should go through the kitchen, boiler room, or similar space.  (c) Doors serving areas with capacities of 100 or more should have panic hardware.</t>
  </si>
  <si>
    <t>(a) Refrigerators and freezers should have thermometers and either high temperature alarms or logs that document regular checks and appropriate temperatures for the box involved.  (b) Goods in the refrigerator or freezer should always sealed or covered.</t>
  </si>
  <si>
    <t>IF(A8="RED FLAG",2,IF(A19="RED FLAG",2,IF(A32="RED FLAG",2,IF(A38="RED FLAG",2,0))))</t>
  </si>
  <si>
    <t>IF(A68="RED FLAG",2,IF(A77="RED FLAG",2,IF(A85="RED FLAG",2,IF(A92="RED FLAG",2,0))))</t>
  </si>
  <si>
    <t>TRIP &amp; TRAVEL</t>
  </si>
  <si>
    <t>m151</t>
  </si>
  <si>
    <t>protective measures</t>
  </si>
  <si>
    <t>m159</t>
  </si>
  <si>
    <t>m163</t>
  </si>
  <si>
    <t>m167</t>
  </si>
  <si>
    <t>m205</t>
  </si>
  <si>
    <t>m255</t>
  </si>
  <si>
    <t>m257</t>
  </si>
  <si>
    <t>m261</t>
  </si>
  <si>
    <t>m277</t>
  </si>
  <si>
    <t>m279</t>
  </si>
  <si>
    <t>m281</t>
  </si>
  <si>
    <t>m283</t>
  </si>
  <si>
    <t>overnight trips</t>
  </si>
  <si>
    <t>m265</t>
  </si>
  <si>
    <t>m294</t>
  </si>
  <si>
    <t>m312</t>
  </si>
  <si>
    <t>m314</t>
  </si>
  <si>
    <t>m316</t>
  </si>
  <si>
    <t>m331</t>
  </si>
  <si>
    <t>riflery</t>
  </si>
  <si>
    <t>m349</t>
  </si>
  <si>
    <t>m367</t>
  </si>
  <si>
    <t>m371</t>
  </si>
  <si>
    <t>m383</t>
  </si>
  <si>
    <t>m385</t>
  </si>
  <si>
    <t>m387</t>
  </si>
  <si>
    <t>m389</t>
  </si>
  <si>
    <t>m391</t>
  </si>
  <si>
    <t>m393</t>
  </si>
  <si>
    <t>m518</t>
  </si>
  <si>
    <t>m498</t>
  </si>
  <si>
    <t>m500</t>
  </si>
  <si>
    <t>m502</t>
  </si>
  <si>
    <t>assembly / dining</t>
  </si>
  <si>
    <t>m155</t>
  </si>
  <si>
    <r>
      <rPr>
        <u/>
        <sz val="9"/>
        <rFont val="Arial"/>
        <family val="2"/>
      </rPr>
      <t>Every</t>
    </r>
    <r>
      <rPr>
        <sz val="9"/>
        <rFont val="Arial"/>
        <family val="2"/>
      </rPr>
      <t xml:space="preserve"> open managed body of water should be actively guarded </t>
    </r>
    <r>
      <rPr>
        <u/>
        <sz val="9"/>
        <rFont val="Arial"/>
        <family val="2"/>
      </rPr>
      <t>at all times</t>
    </r>
    <r>
      <rPr>
        <sz val="9"/>
        <rFont val="Arial"/>
        <family val="2"/>
      </rPr>
      <t xml:space="preserve"> by at least one certified lifeguard.</t>
    </r>
  </si>
  <si>
    <r>
      <t xml:space="preserve">1) Every unknown child should be swim tested.  2) All children should be visibly marked before being allowed into the water (except during swim lessons or competitive events where ability has been already validated).  3) Non-swimming children should be allowed in areas of water where the maximum depth is above their nipple line </t>
    </r>
    <r>
      <rPr>
        <u/>
        <sz val="9"/>
        <rFont val="Arial"/>
        <family val="2"/>
      </rPr>
      <t>only</t>
    </r>
    <r>
      <rPr>
        <sz val="9"/>
        <rFont val="Arial"/>
        <family val="2"/>
      </rPr>
      <t xml:space="preserve"> when a caregiver is close enough to control or stop activity when necessary (defined as no more than one of the child’s body lengths if the child is not wearing a PFD).  4) All children using entry devices should also pass the manufacturer’s suggested size requirement.</t>
    </r>
  </si>
  <si>
    <r>
      <t xml:space="preserve">Floors should be kept clean, dry, and clear of obstructions; </t>
    </r>
    <r>
      <rPr>
        <i/>
        <sz val="9"/>
        <rFont val="Arial"/>
        <family val="2"/>
      </rPr>
      <t>WET FLOOR</t>
    </r>
    <r>
      <rPr>
        <sz val="9"/>
        <rFont val="Arial"/>
        <family val="2"/>
      </rPr>
      <t xml:space="preserve"> signs should be used as needed. </t>
    </r>
  </si>
  <si>
    <t>PLATINUM MEDAL with two emergency oxygen response units in camp - one in aquatics and one elsewhere.</t>
  </si>
  <si>
    <t>1) GOLD MEDAL plus non-aquatic staff is trained in emergency oxygen administration so that there are always at least two O2-trained individuals present in camp whenever it is open. 
2) Non-aquatic individuals should be the first response to any emergency oxygen event that is outside a lifeguard's purview.</t>
  </si>
  <si>
    <t>1) GOLD MEDAL with non-aquatic staff trained in AED administration so that at least two AED-trained individuals are present in camp whenever it is open. 
2) These individuals are who should respond to any AED event that is off the pool deck.</t>
  </si>
  <si>
    <t>1) An AED is located in a clearly identified, easily accessible location in camp. 
2) There is visual, documented verification of regular routine maintenance.</t>
  </si>
  <si>
    <r>
      <t xml:space="preserve">1) PLATINUM MEDAL </t>
    </r>
    <r>
      <rPr>
        <i/>
        <sz val="9"/>
        <rFont val="Arial"/>
        <family val="2"/>
      </rPr>
      <t>expanded</t>
    </r>
    <r>
      <rPr>
        <sz val="9"/>
        <rFont val="Arial"/>
        <family val="2"/>
      </rPr>
      <t xml:space="preserve"> to include special event volunteers who have access to children. 
2) All applications have a clear and obvious statement regarding predator identification policies. </t>
    </r>
  </si>
  <si>
    <r>
      <t xml:space="preserve">1) PLATINUM MEDAL </t>
    </r>
    <r>
      <rPr>
        <i/>
        <sz val="9"/>
        <rFont val="Arial"/>
        <family val="2"/>
      </rPr>
      <t>expanded</t>
    </r>
    <r>
      <rPr>
        <sz val="9"/>
        <rFont val="Arial"/>
        <family val="2"/>
      </rPr>
      <t xml:space="preserve"> to include all programmatic, child-serving, or special event volunteers who have access to children. 
2) All CBCs include a social security address trace (not just a number verification).</t>
    </r>
  </si>
  <si>
    <t>No facility operation - all locations are in the control of others</t>
  </si>
  <si>
    <t>twice annualy</t>
  </si>
  <si>
    <t>sum</t>
  </si>
  <si>
    <t xml:space="preserve">  CONTACTS </t>
  </si>
  <si>
    <r>
      <t xml:space="preserve">Contracted program staff are given 1099 forms and provide certificates of insurance (these may include personal trainers, aerobic / dance / martial arts instructors, etc.); if none mark </t>
    </r>
    <r>
      <rPr>
        <i/>
        <sz val="9"/>
        <rFont val="Arial"/>
        <family val="2"/>
      </rPr>
      <t>NA.</t>
    </r>
  </si>
  <si>
    <r>
      <t xml:space="preserve">The cooking exposure is properly controlled: knife storage and use is appropriate, floors are clean and dry, storage properly arranged. If no cooking or cooking by contractor mark </t>
    </r>
    <r>
      <rPr>
        <i/>
        <sz val="9"/>
        <rFont val="Arial"/>
        <family val="2"/>
      </rPr>
      <t>NA.</t>
    </r>
  </si>
  <si>
    <t>In-service training is provided only in response to identified needs OR is less frequently than monthly OR is inadequately documented.</t>
  </si>
  <si>
    <t>GENERAL ARA - 6.1.5</t>
  </si>
  <si>
    <t>WC ARA - 6.1.5</t>
  </si>
  <si>
    <t>CAMPING ARA - 6.1.5</t>
  </si>
  <si>
    <r>
      <t xml:space="preserve">combined overall score </t>
    </r>
    <r>
      <rPr>
        <b/>
        <sz val="10"/>
        <rFont val="Arial"/>
        <family val="2"/>
      </rPr>
      <t>98% or above</t>
    </r>
    <r>
      <rPr>
        <sz val="10"/>
        <rFont val="Arial"/>
      </rPr>
      <t xml:space="preserve"> without disqualifying marks</t>
    </r>
  </si>
  <si>
    <r>
      <t xml:space="preserve">combined overall score </t>
    </r>
    <r>
      <rPr>
        <b/>
        <sz val="10"/>
        <rFont val="Arial"/>
        <family val="2"/>
      </rPr>
      <t>between 83% and 97.99%</t>
    </r>
    <r>
      <rPr>
        <sz val="10"/>
        <rFont val="Arial"/>
      </rPr>
      <t xml:space="preserve"> without disqualifying marks</t>
    </r>
  </si>
  <si>
    <r>
      <t xml:space="preserve">combined overall score </t>
    </r>
    <r>
      <rPr>
        <b/>
        <sz val="10"/>
        <rFont val="Arial"/>
        <family val="2"/>
      </rPr>
      <t>between 68% and 82.99%</t>
    </r>
    <r>
      <rPr>
        <sz val="10"/>
        <rFont val="Arial"/>
      </rPr>
      <t xml:space="preserve"> without disqualifying marks</t>
    </r>
  </si>
  <si>
    <r>
      <t xml:space="preserve">combined overall score </t>
    </r>
    <r>
      <rPr>
        <b/>
        <sz val="10"/>
        <rFont val="Arial"/>
        <family val="2"/>
      </rPr>
      <t>between 48% and 67.99%</t>
    </r>
    <r>
      <rPr>
        <sz val="10"/>
        <rFont val="Arial"/>
      </rPr>
      <t xml:space="preserve"> without disqualifying marks</t>
    </r>
  </si>
  <si>
    <r>
      <t xml:space="preserve">combined overall or any section score </t>
    </r>
    <r>
      <rPr>
        <b/>
        <sz val="10"/>
        <rFont val="Arial"/>
        <family val="2"/>
      </rPr>
      <t>&lt; 48%</t>
    </r>
    <r>
      <rPr>
        <sz val="10"/>
        <rFont val="Arial"/>
      </rPr>
      <t xml:space="preserve"> without disqualifying marks</t>
    </r>
  </si>
  <si>
    <t>The employment application should require potential employees to sign an abuse prevention code of conduct and answer a question regarding past criminal convictions. That question could be: "Have you ever been convicted of, plead guilty to, or plead 'no contest' to any crime? If yes, please explain."</t>
  </si>
  <si>
    <r>
      <rPr>
        <sz val="9"/>
        <rFont val="Arial"/>
        <family val="2"/>
      </rPr>
      <t>1</t>
    </r>
    <r>
      <rPr>
        <b/>
        <sz val="20"/>
        <color indexed="12"/>
        <rFont val="Arial"/>
        <family val="2"/>
      </rPr>
      <t xml:space="preserve">    GENERAL INFORMATION</t>
    </r>
  </si>
  <si>
    <t>5.5.1</t>
  </si>
  <si>
    <t>5.5.2</t>
  </si>
  <si>
    <t>5.5.3</t>
  </si>
  <si>
    <t>5.5.4</t>
  </si>
  <si>
    <t>5.5.5</t>
  </si>
  <si>
    <t>RESIDENCE FACILITIES</t>
  </si>
  <si>
    <r>
      <t>RESIDENCE FACILITIES</t>
    </r>
    <r>
      <rPr>
        <sz val="8"/>
        <rFont val="Arial"/>
        <family val="2"/>
      </rPr>
      <t xml:space="preserve"> (FOR CAMP and SOCIAL SERVICE PROGRAMS LIKE SHELTERS, etc. SEE THEIR RESPECTIVE SHEET)</t>
    </r>
  </si>
  <si>
    <t>Any residence facility that does not meet at least the YELLOW FLAG criteria.</t>
  </si>
  <si>
    <t>The residence monitors access to the living floors 24/7.</t>
  </si>
  <si>
    <t>The residence facility
    a)  monitors access to the living floors 24/7
    b)  performs CBCs and/or reference checks of all resident applicants
    c)  has at least weekly maid service in every living unit
  OR
The residence facility is operated by another entity who 
    a)  provides a COI with a named insured endorsement
    b)  has at least weekly maid service in every living unit</t>
  </si>
  <si>
    <t>SOCIAL PROGRAMMING?</t>
  </si>
  <si>
    <t>VEHICLES</t>
  </si>
  <si>
    <t>PP</t>
  </si>
  <si>
    <t>BUS</t>
  </si>
  <si>
    <t>15PV</t>
  </si>
  <si>
    <t>TRUCK--PU--SUV</t>
  </si>
  <si>
    <t>MINI-VAN</t>
  </si>
  <si>
    <t>MINI-BUS</t>
  </si>
  <si>
    <t>TRADITIONAL YOUTH SPORTS?</t>
  </si>
  <si>
    <t>TACKLE FOOTBALL?</t>
  </si>
  <si>
    <t># BEDS</t>
  </si>
  <si>
    <t>OCC. RATE</t>
  </si>
  <si>
    <t xml:space="preserve"> #  BY OTHERS</t>
  </si>
  <si>
    <t xml:space="preserve">  references</t>
  </si>
  <si>
    <t xml:space="preserve">  CBCs</t>
  </si>
  <si>
    <t xml:space="preserve">  refusal right</t>
  </si>
  <si>
    <t xml:space="preserve">  sep.entrance</t>
  </si>
  <si>
    <t xml:space="preserve">  dining hall</t>
  </si>
  <si>
    <t xml:space="preserve">  maid service</t>
  </si>
  <si>
    <t>list80</t>
  </si>
  <si>
    <t>weekly</t>
  </si>
  <si>
    <t>biweekly</t>
  </si>
  <si>
    <t>&gt; biweekly</t>
  </si>
  <si>
    <t>&lt; weekly</t>
  </si>
  <si>
    <t xml:space="preserve">  COI Mgmt Entity</t>
  </si>
  <si>
    <t>DAMS?</t>
  </si>
  <si>
    <t xml:space="preserve">     CHECK ALL THAT ARE TRUE</t>
  </si>
  <si>
    <t>Social Programs</t>
  </si>
  <si>
    <t>5.4.6</t>
  </si>
  <si>
    <t>The residence facility should a) monitor access to the living floors 24/7;  b) perform CBCs and/or reference checks of all resident applicants;  c) have at least weekly maid service in every living unit . OR  The other entity that operates the residence facility should a)  provide a COI with a named insured endorsement; b)  have at least weekly maid service in every living unit.</t>
  </si>
  <si>
    <t>entity status</t>
  </si>
  <si>
    <t xml:space="preserve">ADDRESS     </t>
  </si>
  <si>
    <t xml:space="preserve">CITY-ST-ZIP </t>
  </si>
  <si>
    <t xml:space="preserve">EXP. DATE    </t>
  </si>
  <si>
    <t>GO TO WC ASSESSMENT</t>
  </si>
  <si>
    <t xml:space="preserve">General Liability Risk Analysis
</t>
  </si>
  <si>
    <t>if applicable</t>
  </si>
  <si>
    <t>RETURN TO GL ASSESSMENT</t>
  </si>
  <si>
    <t>1) Child abuse prevention training (The Redwoods Group, Inc. or equivalent) is completed by all paid staff members and all child-serving volunteers within 60 days of hire. 
2) Summer staff complete training before they begin camp.</t>
  </si>
  <si>
    <t xml:space="preserve">OPTION 1: the program’s staff-to-child child ratio is always maintained during transport without counting the driver and if multiple staff are involved they are scattered throughout the vehicle. 
   OR
OPTION 2: YELLOW FLAG with a procedure to verify that all children who got into the vehicle also got out of the vehicle at the appropriate destination (roll call, check list, etc.) coupled with driver verification of departures via phone or radio.
</t>
  </si>
  <si>
    <t>RED FLAG with only predefined routes such that 1) the trips have specified schedules, 2) each leg is less than ten miles in length, 3) there are at least two students or two staff on every leg, 4) there is staff (or client) verification of arrival at each phase of the journey, 5) and some form of communication is available to reach the driver during the route.
OR 
Staff besides the driver is on the vehicle but the programmatic staff-to-child ratio is not maintained during transport.</t>
  </si>
  <si>
    <t>1) No personal activities of any kind are allowed to distract the lifeguard from scanning (drinking water from an approved container is not considered a personal activity). 
2) There is a procedure that holds lifeguards accountable for undesirable behavior.</t>
  </si>
  <si>
    <t>1) Every unknown child is swim tested and all children are visibly marked before being allowed into the water (except during swim lessons or competitive events where ability has been already validated); 
2) Non-swimming children are only allowed in areas of water where the maximum depth is above their nipple line when a caregiver is close enough to control or stop activity when necessary (defined as no more than one of the child’s body lengths if the child is not wearing a PFD). 
3) All children using entry devices must also pass the manufacturer’s suggested size/height requirement.</t>
  </si>
  <si>
    <r>
      <t xml:space="preserve">1) PLATINUM MEDAL </t>
    </r>
    <r>
      <rPr>
        <i/>
        <sz val="9"/>
        <rFont val="Arial"/>
        <family val="2"/>
      </rPr>
      <t>plus</t>
    </r>
    <r>
      <rPr>
        <sz val="9"/>
        <rFont val="Arial"/>
        <family val="2"/>
      </rPr>
      <t xml:space="preserve"> a portable emergency summoning device (that does not require voice communication) is carried by at least one on-duty lifeguard OR there are </t>
    </r>
    <r>
      <rPr>
        <u/>
        <sz val="9"/>
        <rFont val="Arial"/>
        <family val="2"/>
      </rPr>
      <t>always</t>
    </r>
    <r>
      <rPr>
        <sz val="9"/>
        <rFont val="Arial"/>
        <family val="2"/>
      </rPr>
      <t xml:space="preserve"> at least two lifeguards on active duty on the pool deck - this means whenever the pool is open, including 5am or 11pm.
2) The emergency response drills are conducted at least bimonthly.</t>
    </r>
  </si>
  <si>
    <r>
      <t xml:space="preserve">PLATINUM MEDAL </t>
    </r>
    <r>
      <rPr>
        <i/>
        <sz val="9"/>
        <rFont val="Arial"/>
        <family val="2"/>
      </rPr>
      <t>plus</t>
    </r>
    <r>
      <rPr>
        <sz val="9"/>
        <rFont val="Arial"/>
        <family val="2"/>
      </rPr>
      <t xml:space="preserve"> semi-annual, unannounced video-recorded lifeguard observations and lifeguard skills audits are conducted.</t>
    </r>
  </si>
  <si>
    <t>1) PLATINUM MEDAL with the minimum level of training being at least 2 hours each month for all guards on the schedule and 4 hours for all guards who work 20 hours or more per week. 
2) Guards annually practice with a local EMS provider OR participate in a rescue-techniques competition (outside the association if less than 6 internal pools). 
3) Flexibility to address current challenges is built into the program.</t>
  </si>
  <si>
    <r>
      <t xml:space="preserve">PLATINUM MEDAL </t>
    </r>
    <r>
      <rPr>
        <i/>
        <sz val="9"/>
        <rFont val="Arial"/>
        <family val="2"/>
      </rPr>
      <t>plus</t>
    </r>
    <r>
      <rPr>
        <sz val="9"/>
        <rFont val="Arial"/>
        <family val="2"/>
      </rPr>
      <t xml:space="preserve"> shallow water pools (i.e., under 60" deep) are divided into at least three depths (e.g., &lt; 36 or 42", 36 or 42"-52", &gt;52", or as determined) that are separated by floating rope or similar physical distinction. (the shallower segment may have less maximum depth if the pool is zero-entry if that better balances the size of the spaces. Note: pools whose maximum depth is 48" need only be divided into two zones to meet this level's requirements.</t>
    </r>
  </si>
  <si>
    <t>1) PLATINUM MEDAL plus all guards are certified or re-certified in the Lifeguard, CPR, and First Aid programs standard to the association within 30 days of hire or re-hire (i.e., actually take or retake the classes or take and pass the full examinations for the classes).  
2) All new-to-the-association guards spend two hours shadowing an experience guard before working their first actual shift.</t>
  </si>
  <si>
    <t>1) PLATINUM MEDAL plus all guards are certified or re-certified in the Lifeguard, CPR, and First Aid programs standard to the organization within 30 days of hire or re-hire (i.e., actually take or retake the classes or take and pass the full examinations for the classes).  
2) All new-to-the-organization guards spend two hours shadowing an experience guard before working their first actual shift.</t>
  </si>
  <si>
    <t>1) PLATINUM MEDAL with the branch aquatic director overseeing no other program areas (but can have some MOD responsibilities). 
2) The organization has either an aquatic work group, council, or advisory committee. 
3) The following documentation is either posted or readily available for inspection: in-service schedule including topics to be covered, in-service attendance log, supplemental oxygen log, AED log. 
4) There is a tracking mechanism that monitors certification expiration and in-service attendance for all lifeguards.</t>
  </si>
  <si>
    <t>Lifeguard qualification is not based solely on a certificate issued by a credentialing entity – lifeguards are constantly monitored  and individual accountability is managed with documentation through notification, retraining, and possible suspension or termination for deviations from protocols.</t>
  </si>
  <si>
    <t>An aquatic training session that focuses on effective scanning techniques and lifeguard vigilance conducted by The Redwoods Group (or approved by TRG's aquatic specialist) is held, hosted, or attended by the organization’s lifeguards, aquatics directors, and executive staff.</t>
  </si>
  <si>
    <t>1) GOLD MEDAL plus there is a policy of never renting or hiring 15-passenger vans that is communicated to all employees. 
2) Initial road tests are consistently given and documented. 
3) All drivers of organization owned, rented, or leased vehicles participate in a documented  defensive driving course (e.g., Back to Basics, DDC, or equivalent) at least every 3 years.</t>
  </si>
  <si>
    <t>1) GOLD MEDAL plus there is a policy of never renting or hiring 15-passenger vans that is communicated to all employees. 
2) Initial road tests are consistently given and documented. 
3) All drivers of association owned, rented, or leased vehicles participate in a documented  defensive driving course (e.g., Back to Basics, DDC, or equivalent) at least every 3 years.</t>
  </si>
  <si>
    <r>
      <t xml:space="preserve">DRIVER TRAINING </t>
    </r>
    <r>
      <rPr>
        <b/>
        <sz val="8"/>
        <rFont val="Arial"/>
        <family val="2"/>
      </rPr>
      <t/>
    </r>
  </si>
  <si>
    <t xml:space="preserve">- WHETHER OR NOT TRANSPORTING PARTICIPANTS; </t>
  </si>
  <si>
    <t>1) GOLD MEDAL plus all drivers who use non-JCC vehicles on JCC business meet the GOLD MEDAL criteria for Driver Experience and Driver Qualification listed above. 
2) The organization has documentation of current liability insurance on any non-JCC vehicle used on JCC business.</t>
  </si>
  <si>
    <t>12- and 15-passenger vans are or may be used but only with modifications and restrictions in accordance with TRG guidelines and with an existing TRG-approved replacement policy to eliminate them. NOTE: Transporting people using SUVs, using mini-buses that do not meet school bus criteria, and driving above 45 mph in mini-buses that do not have dual rear wheels on each side of the vehicle all fall into this category.</t>
  </si>
  <si>
    <t>1)  PLATINUM MEDAL expanded to cover all vehicles. 
2)  Documented pre- and post-trip inspections of all vehicles. 
3)  Documented annual safety checks of all vehicles. 
4)  A single organization staff member responsible for and monitoring branch level oversight.</t>
  </si>
  <si>
    <t>1)  PLATINUM MEDAL expanded to cover all vehicles. 
2)  Documented pre- and post-trip inspections of all vehicles. 
3)  Documented annual safety checks of all vehicles. 
4)  A single association staff member responsible for and monitoring branch level oversight.</t>
  </si>
  <si>
    <t>1.8</t>
  </si>
  <si>
    <t>1.9</t>
  </si>
  <si>
    <t>1.10</t>
  </si>
  <si>
    <r>
      <t xml:space="preserve">GOLD MEDAL </t>
    </r>
    <r>
      <rPr>
        <i/>
        <sz val="9"/>
        <rFont val="Arial"/>
        <family val="2"/>
      </rPr>
      <t>plus</t>
    </r>
    <r>
      <rPr>
        <sz val="9"/>
        <rFont val="Arial"/>
        <family val="2"/>
      </rPr>
      <t xml:space="preserve"> the checks are documented and no more than 15 minutes apart. 
   OR 
The sauna is located in a very public area (e.g., on the pool deck).</t>
    </r>
  </si>
  <si>
    <t>There is no residence facility.
  OR 
The residence facility is operated by another entity who
    a)  meets the PLATINUM criteria for a JCC managed residence
    b)  provides a COI with a named insured endorsement
    c)  gives the JCC the right of refusal of any resident</t>
  </si>
  <si>
    <t>There is no residence facility.
  OR 
The residence facility is operated by another entity who
    a)  meets the PLATINUM criteria for a Y managed residence
    b)  provides a COI with a named insured endorsement
    c)  gives the Y the right of refusal of any resident.</t>
  </si>
  <si>
    <t>GOLD MEDAL with the monitored entry being separate and well removed from the JCC's entrance.
  OR
The residence facility is operated by another entity who
     a)  meets the GOLD criteria for a JCC managed residence
    b)  provides a COI with a named insured endorsement
    c)  gives the JCC the right of refusal of any resident</t>
  </si>
  <si>
    <t>GOLD MEDAL with the monitored entry being separate and well removed from the Y's entrance.
  OR
The residence facility is operated by another entity who
     a)  meets the GOLD criteria for a Y managed residence
    b)  provides a COI with a named insured endorsement
    c)  gives the Y the right of refusal of any resident</t>
  </si>
  <si>
    <t>dedicated camp</t>
  </si>
  <si>
    <t>SACC (before/after)?</t>
  </si>
  <si>
    <t>k</t>
  </si>
  <si>
    <t>Contractors performing work or duties on YMCA premises are given 1099 forms and provide certificates of insurance; (these may include custodial, grounds maintenance, HVAC, pool chemical, vending machine operators, construction or alteration operations, etc.); if none mark NA.</t>
  </si>
  <si>
    <t>Contractors performing work or duties on JCC premises are given 1099 forms and provide certificates of insurance; (these may include custodial, grounds maintenance, HVAC, pool chemical, vending machine operators, construction or alteration operations, etc.); if none mark NA.</t>
  </si>
  <si>
    <t xml:space="preserve">DRIVER EXPERIENCE &amp; QUALIFICATION - </t>
  </si>
  <si>
    <t>No facility operation - all locations are in the control of others.</t>
  </si>
  <si>
    <t>1) PLATINUM MEDAL plus all contracts are previewed by a qualified person in the corporate management team or corporate counsel.
2) Contracts with partnering entities do not require indemnification or hold harmless except for actions or inactions of the YMCA itself. 
3) Significant contracts are also reviewed either by TRG risk management or broker.</t>
  </si>
  <si>
    <t>1) PLATINUM MEDAL plus all contracts are previewed by a qualified person in the corporate management team or corporate counsel.
2) Contracts with partnering entities do not require indemnification or hold harmless except for actions or inactions of the JCC itself. 
3) Significant contracts are also reviewed either by TRG risk management or broker.)</t>
  </si>
  <si>
    <t>1) GOLD MEDAL plus significant agreements with vendors and contractors require hold-harmless, waiver of rights, and indemnity wording favoring the Y. 
2) Verification of current insurance coverage (workers’ compensation, liability including completed operations/products and automobile) has been provided to verify funding of the agreement.</t>
  </si>
  <si>
    <t>1) GOLD MEDAL plus significant agreements with vendors and contractors require hold-harmless, waiver of rights, and indemnity wording favoring the JCC. 
2) Verification of current insurance coverage (workers’ compensation, liability including completed operations/products and automobile) has been provided to verify funding of the agreement.</t>
  </si>
  <si>
    <t>1) GOLD MEDAL plus members and program participants (or their parents/guardians) sign a similar document. 
2) High-risk activities (e.g., challenge courses, climbing walls, rock climbing, horse riding, archery, marksmanship, boating, skateboarding, in-line skating, BMX riding, mountain biking, cycling, etc.) include informed consent wording specific to the activity.
     OR, if the explanatory box below is applicable
1) Assumption of risk and informed consent agreements are required of all adult members and guests. 
2) Each adult's identity is verified using JCC, government, or school issued photo ID.</t>
  </si>
  <si>
    <t>1) GOLD MEDAL plus members and program participants (or their parents/guardians) sign a similar document. 
2) High-risk activities (e.g., challenge courses, climbing walls, rock climbing, horse riding, archery, marksmanship, boating, skateboarding, in-line skating, BMX riding, mountain biking, cycling, etc.) include informed consent wording specific to the activity.
     OR, if the explanatory box below is applicable
1) Assumption of risk and informed consent agreements are required of all adult members and guests. 
2) Each adult's identity is verified using YMCA, government, or school issued photo ID.</t>
  </si>
  <si>
    <t xml:space="preserve">1) Adult guests sign a waiver / release of rights / covenant not to sue document. 
2) Each adult guest's identity is verified using government or school issued ID.
     OR, if the explanatory box below is applicable 
1) Assumption of risk and informed consent agreements are required of all adult guests. 
2) Each adult guest's identity is verified using YMCA, government  or school issued photo ID. </t>
  </si>
  <si>
    <t xml:space="preserve">1) Adult guests sign a waiver / release of rights / covenant not to sue document. 
2) Each adult guest's identity is verified using government or school issued ID.
     OR, if the explanatory box below is applicable 
1) Assumption of risk and informed consent agreements are required of all adult guests. 
2) Each adult guest's identity is verified using JCC, government  or school issued photo ID. </t>
  </si>
  <si>
    <t>v7.1.2 alterations</t>
  </si>
  <si>
    <t>ARA - hid "beds", "by others", and "occ rate" on line 73, "check all that are true" on line 74</t>
  </si>
  <si>
    <t>WC / ARA - corrected some YMCA/JCC issues discovered while making summary document</t>
  </si>
  <si>
    <t>OFE:  a means of collecting spent rounds to prevent contamination of the environment</t>
  </si>
  <si>
    <t>OFE:  All camper/guest accomodation buildings having more than one story or sleeping 50 or more should have manual-pull local fire alarms.</t>
  </si>
  <si>
    <t>OFE:  All camper/guest sleeping facilities that sleep 16 or more individuals should have emergency lighting and EXIT signs.</t>
  </si>
  <si>
    <t>OFE:  Exterior doors to camper cabins should not be capable of being locked (or staff, including counselors, should carry the key with them at all times).</t>
  </si>
  <si>
    <t>OFE:  Windows in camper cabins should either have no curtains or should have the the curtains kept open except during times of dressing or sleeping.</t>
  </si>
  <si>
    <t>BASIC INFORMATION SCREEN</t>
  </si>
  <si>
    <t>This entity is:</t>
  </si>
  <si>
    <t>Assc</t>
  </si>
  <si>
    <t>YMCA</t>
  </si>
  <si>
    <t>City</t>
  </si>
  <si>
    <t>State</t>
  </si>
  <si>
    <t>2008 Revenue</t>
  </si>
  <si>
    <t xml:space="preserve"> YMCA of Calhoun County  </t>
  </si>
  <si>
    <t>Anniston</t>
  </si>
  <si>
    <t>AL</t>
  </si>
  <si>
    <t xml:space="preserve"> Legacy YMCA  </t>
  </si>
  <si>
    <t>Bessemer</t>
  </si>
  <si>
    <t xml:space="preserve"> Birmingham Metropolitan YMCA  </t>
  </si>
  <si>
    <t>Birmingham</t>
  </si>
  <si>
    <t xml:space="preserve"> Enterprise YMCA  </t>
  </si>
  <si>
    <t>Enterprise</t>
  </si>
  <si>
    <t xml:space="preserve"> YMCA of the Shoals  </t>
  </si>
  <si>
    <t>Florence</t>
  </si>
  <si>
    <t xml:space="preserve"> YMCA of the Coosa Valley, Inc  </t>
  </si>
  <si>
    <t>Gadsden</t>
  </si>
  <si>
    <t xml:space="preserve"> YMCA of Metropolitan Huntsville AL  </t>
  </si>
  <si>
    <t>Huntsville</t>
  </si>
  <si>
    <t xml:space="preserve"> YMCA of South Alabama, Inc  </t>
  </si>
  <si>
    <t>Mobile</t>
  </si>
  <si>
    <t xml:space="preserve"> Dearborn YMCA  </t>
  </si>
  <si>
    <t xml:space="preserve"> Monroeville Area YMCA  </t>
  </si>
  <si>
    <t>Monroeville</t>
  </si>
  <si>
    <t xml:space="preserve"> Atmore Area YMCA Inc.  </t>
  </si>
  <si>
    <t>Atmore</t>
  </si>
  <si>
    <t xml:space="preserve"> Brewton Area YMCA  </t>
  </si>
  <si>
    <t>Brewton</t>
  </si>
  <si>
    <t xml:space="preserve"> Montgomery YMCA Metro Board  </t>
  </si>
  <si>
    <t>Montgomery</t>
  </si>
  <si>
    <t xml:space="preserve"> Prattville YMCA  </t>
  </si>
  <si>
    <t>Prattville</t>
  </si>
  <si>
    <t xml:space="preserve"> Chilton County YMCA  </t>
  </si>
  <si>
    <t>Clanton</t>
  </si>
  <si>
    <t xml:space="preserve"> YMCA of Selma-Dallas County  </t>
  </si>
  <si>
    <t>Selma</t>
  </si>
  <si>
    <t>N/A</t>
  </si>
  <si>
    <t xml:space="preserve"> Tuscaloosa Metropolitan YMCA  </t>
  </si>
  <si>
    <t>Tuscaloosa</t>
  </si>
  <si>
    <t xml:space="preserve"> YMCA of Anchorage Alaska  </t>
  </si>
  <si>
    <t>Anchorage</t>
  </si>
  <si>
    <t>AK</t>
  </si>
  <si>
    <t xml:space="preserve"> Valley of the Sun YMCA  </t>
  </si>
  <si>
    <t>Phoenix</t>
  </si>
  <si>
    <t>AZ</t>
  </si>
  <si>
    <t xml:space="preserve"> Prescott YMCA of Yavapai County  </t>
  </si>
  <si>
    <t>Prescott</t>
  </si>
  <si>
    <t xml:space="preserve"> YMCA of Tucson  </t>
  </si>
  <si>
    <t>Tucson</t>
  </si>
  <si>
    <t xml:space="preserve"> YMCA of Hot Springs Arkansas Inc.  </t>
  </si>
  <si>
    <t>Hot Springs</t>
  </si>
  <si>
    <t>AR</t>
  </si>
  <si>
    <t xml:space="preserve"> Jonesboro YMCA  </t>
  </si>
  <si>
    <t>Jonesboro</t>
  </si>
  <si>
    <t xml:space="preserve"> YMCA of Metropolitan Little Rock  </t>
  </si>
  <si>
    <t>North Little Rock</t>
  </si>
  <si>
    <t xml:space="preserve"> Seabrook YMCA  </t>
  </si>
  <si>
    <t>Pine Bluff</t>
  </si>
  <si>
    <t xml:space="preserve"> YMCA of Warren and Bradley County  </t>
  </si>
  <si>
    <t>Warren</t>
  </si>
  <si>
    <t xml:space="preserve"> YMCA of Anaheim  </t>
  </si>
  <si>
    <t>Anaheim</t>
  </si>
  <si>
    <t>CA</t>
  </si>
  <si>
    <t xml:space="preserve"> Berkeley YMCA  </t>
  </si>
  <si>
    <t>Berkeley</t>
  </si>
  <si>
    <t xml:space="preserve"> YMCA of Burbank California  </t>
  </si>
  <si>
    <t>Burbank</t>
  </si>
  <si>
    <t xml:space="preserve"> Central Coast YMCA  </t>
  </si>
  <si>
    <t>Salinas</t>
  </si>
  <si>
    <t xml:space="preserve"> Central Valley YMCA  </t>
  </si>
  <si>
    <t>Fresno</t>
  </si>
  <si>
    <t xml:space="preserve"> YMCA of the Foothills  </t>
  </si>
  <si>
    <t>La Canada Flintridge</t>
  </si>
  <si>
    <t xml:space="preserve"> YMCA of Kern County Inc.  </t>
  </si>
  <si>
    <t>Bakersfield</t>
  </si>
  <si>
    <t xml:space="preserve"> YMCA of Kings County  </t>
  </si>
  <si>
    <t>Hanford</t>
  </si>
  <si>
    <t xml:space="preserve"> YMCA of Greater Long Beach  </t>
  </si>
  <si>
    <t>Long Beach</t>
  </si>
  <si>
    <t xml:space="preserve"> YMCA of Metropolitan Los Angeles  </t>
  </si>
  <si>
    <t>Los Angeles</t>
  </si>
  <si>
    <t xml:space="preserve"> Mt. Diablo Region YMCA  </t>
  </si>
  <si>
    <t>Pleasant Hill</t>
  </si>
  <si>
    <t xml:space="preserve"> YMCA of the East Bay  </t>
  </si>
  <si>
    <t>Oakland</t>
  </si>
  <si>
    <t xml:space="preserve"> West End YMCA  </t>
  </si>
  <si>
    <t>Ontario</t>
  </si>
  <si>
    <t xml:space="preserve"> YMCA of Orange  </t>
  </si>
  <si>
    <t>Orange</t>
  </si>
  <si>
    <t xml:space="preserve"> YMCA of Orange County  </t>
  </si>
  <si>
    <t>Tustin</t>
  </si>
  <si>
    <t xml:space="preserve"> YMCA of the Mid-Peninsula  </t>
  </si>
  <si>
    <t>Palo Alto</t>
  </si>
  <si>
    <t xml:space="preserve"> YMCA of Pomona Valley  </t>
  </si>
  <si>
    <t>Pomona</t>
  </si>
  <si>
    <t xml:space="preserve"> Shasta County YMCA  </t>
  </si>
  <si>
    <t>Redding</t>
  </si>
  <si>
    <t xml:space="preserve"> YMCA of the East Valley  </t>
  </si>
  <si>
    <t>Redlands</t>
  </si>
  <si>
    <t xml:space="preserve"> YMCA of Riverside City and County  </t>
  </si>
  <si>
    <t>Riverside</t>
  </si>
  <si>
    <t xml:space="preserve"> Corona-Norco Family YMCA  </t>
  </si>
  <si>
    <t>Corona</t>
  </si>
  <si>
    <t xml:space="preserve"> Family YMCA of the Desert  </t>
  </si>
  <si>
    <t>Palm Desert</t>
  </si>
  <si>
    <t xml:space="preserve"> YMCA of Superior California  </t>
  </si>
  <si>
    <t>Sacramento</t>
  </si>
  <si>
    <t xml:space="preserve"> Siskiyou Family YMCA  </t>
  </si>
  <si>
    <t>Yreka</t>
  </si>
  <si>
    <t xml:space="preserve"> YMCA of San Diego County  </t>
  </si>
  <si>
    <t>San Diego</t>
  </si>
  <si>
    <t xml:space="preserve"> YMCA of San Francisco  </t>
  </si>
  <si>
    <t>San Francisco</t>
  </si>
  <si>
    <t xml:space="preserve"> San Gabriel Valley YMCA  </t>
  </si>
  <si>
    <t>Covina</t>
  </si>
  <si>
    <t xml:space="preserve"> YMCA of Santa Clara Valley  </t>
  </si>
  <si>
    <t>San Jose</t>
  </si>
  <si>
    <t xml:space="preserve"> San Luis Obispo County YMCA  </t>
  </si>
  <si>
    <t>San Luis Obispo</t>
  </si>
  <si>
    <t xml:space="preserve"> Santa Anita Family YMCA  </t>
  </si>
  <si>
    <t>Monrovia</t>
  </si>
  <si>
    <t xml:space="preserve"> Channel Islands YMCA  </t>
  </si>
  <si>
    <t>Santa Barbara</t>
  </si>
  <si>
    <t xml:space="preserve"> Santa Maria Valley YMCA  </t>
  </si>
  <si>
    <t>Santa Maria</t>
  </si>
  <si>
    <t xml:space="preserve"> Santa Monica Family YMCA  </t>
  </si>
  <si>
    <t>Santa Monica</t>
  </si>
  <si>
    <t xml:space="preserve"> Sonoma County Family YMCA  </t>
  </si>
  <si>
    <t>Santa Rosa</t>
  </si>
  <si>
    <t xml:space="preserve"> Southeast Ventura County YMCA  </t>
  </si>
  <si>
    <t>Thousand Oaks</t>
  </si>
  <si>
    <t xml:space="preserve"> YMCA of San Joaquin County  </t>
  </si>
  <si>
    <t>Stockton</t>
  </si>
  <si>
    <t xml:space="preserve"> Golden State YMCA  </t>
  </si>
  <si>
    <t>Visalia</t>
  </si>
  <si>
    <t xml:space="preserve"> YMCA of West San Gabriel Valley  </t>
  </si>
  <si>
    <t>Alhambra</t>
  </si>
  <si>
    <t xml:space="preserve"> YMCA of Greater Whittier  </t>
  </si>
  <si>
    <t>Whittier</t>
  </si>
  <si>
    <t xml:space="preserve"> YMCA of Boulder Valley  </t>
  </si>
  <si>
    <t>Boulder</t>
  </si>
  <si>
    <t>CO</t>
  </si>
  <si>
    <t xml:space="preserve"> Ed &amp; Ruth Lehman YMCA  </t>
  </si>
  <si>
    <t>Longmont</t>
  </si>
  <si>
    <t xml:space="preserve"> YMCA of the Pikes Peak Region  </t>
  </si>
  <si>
    <t>Colorado Springs</t>
  </si>
  <si>
    <t xml:space="preserve"> YMCA of Metropolitan Denver  </t>
  </si>
  <si>
    <t>Denver</t>
  </si>
  <si>
    <t xml:space="preserve"> YMCA of the Rockies  </t>
  </si>
  <si>
    <t>Estes Park</t>
  </si>
  <si>
    <t xml:space="preserve"> YMCA of Pueblo  </t>
  </si>
  <si>
    <t>Pueblo</t>
  </si>
  <si>
    <t xml:space="preserve"> Central Connecticut Coast YMCA  </t>
  </si>
  <si>
    <t>New Haven</t>
  </si>
  <si>
    <t>CT</t>
  </si>
  <si>
    <t xml:space="preserve"> YMCA Camp Coniston  </t>
  </si>
  <si>
    <t>Grantham</t>
  </si>
  <si>
    <t>NH</t>
  </si>
  <si>
    <t xml:space="preserve"> YMCA of Greenwich Inc.  </t>
  </si>
  <si>
    <t>Greenwich</t>
  </si>
  <si>
    <t xml:space="preserve"> Camp Hazen YMCA  </t>
  </si>
  <si>
    <t>Chester</t>
  </si>
  <si>
    <t xml:space="preserve"> Camp Mohawk YMCA Inc.  </t>
  </si>
  <si>
    <t>Litchfield</t>
  </si>
  <si>
    <t xml:space="preserve"> YMCA of Metropolitan Hartford  </t>
  </si>
  <si>
    <t>Hartford</t>
  </si>
  <si>
    <t xml:space="preserve"> Meriden YMCA  </t>
  </si>
  <si>
    <t>Meriden</t>
  </si>
  <si>
    <t xml:space="preserve"> Naugatuck YMCA  </t>
  </si>
  <si>
    <t>Naugatuck</t>
  </si>
  <si>
    <t xml:space="preserve"> New Britain-Berlin YMCA  </t>
  </si>
  <si>
    <t>New Britain</t>
  </si>
  <si>
    <t xml:space="preserve"> New Canaan Community YMCA  </t>
  </si>
  <si>
    <t>New Canaan</t>
  </si>
  <si>
    <t xml:space="preserve"> Northern Middlesex County YMCA  </t>
  </si>
  <si>
    <t>Middletown</t>
  </si>
  <si>
    <t xml:space="preserve"> YMCA of Norwalk Inc.  </t>
  </si>
  <si>
    <t>Norwalk</t>
  </si>
  <si>
    <t xml:space="preserve"> Wilton Family YMCA Inc.  </t>
  </si>
  <si>
    <t>Wilton</t>
  </si>
  <si>
    <t xml:space="preserve"> Southeastern Connecticut YMCA  </t>
  </si>
  <si>
    <t>Norwich</t>
  </si>
  <si>
    <t xml:space="preserve"> Regional YMCA of Western Connecticut Inc  </t>
  </si>
  <si>
    <t>Brookfield</t>
  </si>
  <si>
    <t xml:space="preserve"> Valley-Shore YMCA  </t>
  </si>
  <si>
    <t>Westbrook</t>
  </si>
  <si>
    <t xml:space="preserve"> Southington-Cheshire Community YMCAs Inc.  </t>
  </si>
  <si>
    <t>Southington</t>
  </si>
  <si>
    <t xml:space="preserve"> YMCA of Stamford  </t>
  </si>
  <si>
    <t>Stamford</t>
  </si>
  <si>
    <t xml:space="preserve"> YMCA of Darien Community Inc  </t>
  </si>
  <si>
    <t>Darien</t>
  </si>
  <si>
    <t xml:space="preserve"> Northwestern Connecticut YMCA  </t>
  </si>
  <si>
    <t>Torrington</t>
  </si>
  <si>
    <t xml:space="preserve"> Wallingford Family YMCA  </t>
  </si>
  <si>
    <t>Wallingford</t>
  </si>
  <si>
    <t xml:space="preserve"> Greater Waterbury YMCA  </t>
  </si>
  <si>
    <t>Waterbury</t>
  </si>
  <si>
    <t xml:space="preserve"> YMCA of Westport/Weston CT Inc.  </t>
  </si>
  <si>
    <t>Westport</t>
  </si>
  <si>
    <t xml:space="preserve"> YMCA of Delaware  </t>
  </si>
  <si>
    <t>Wilmington</t>
  </si>
  <si>
    <t>DE</t>
  </si>
  <si>
    <t xml:space="preserve"> YMCA of Metropolitan Washington  </t>
  </si>
  <si>
    <t>Washington</t>
  </si>
  <si>
    <t>DC</t>
  </si>
  <si>
    <t xml:space="preserve"> YMCA of South Palm Beach County  </t>
  </si>
  <si>
    <t>Boca Raton</t>
  </si>
  <si>
    <t>FL</t>
  </si>
  <si>
    <t xml:space="preserve"> YMCA of Broward County  </t>
  </si>
  <si>
    <t>Fort Lauderdale</t>
  </si>
  <si>
    <t xml:space="preserve"> YMCA of the Suncoast  </t>
  </si>
  <si>
    <t>Clearwater</t>
  </si>
  <si>
    <t xml:space="preserve"> Lee County YMCA  </t>
  </si>
  <si>
    <t>Fort Myers</t>
  </si>
  <si>
    <t xml:space="preserve"> North Central Florida YMCA  </t>
  </si>
  <si>
    <t>Gainesville</t>
  </si>
  <si>
    <t xml:space="preserve"> Florida's Emerald Coast YMCA  </t>
  </si>
  <si>
    <t>Ft Walton Beach</t>
  </si>
  <si>
    <t xml:space="preserve"> Florida's First Coast YMCA - Metropolitan  </t>
  </si>
  <si>
    <t>Jacksonville</t>
  </si>
  <si>
    <t xml:space="preserve"> Marco Island YMCA  </t>
  </si>
  <si>
    <t>Marco Island</t>
  </si>
  <si>
    <t xml:space="preserve"> YMCA of West Central Florida  </t>
  </si>
  <si>
    <t>Lakeland</t>
  </si>
  <si>
    <t xml:space="preserve"> Lake Wales Family YMCA  </t>
  </si>
  <si>
    <t>Lake Wales</t>
  </si>
  <si>
    <t xml:space="preserve"> YMCA of Greater Miami  </t>
  </si>
  <si>
    <t>Miami</t>
  </si>
  <si>
    <t xml:space="preserve"> YMCA of the Palms  </t>
  </si>
  <si>
    <t>Naples</t>
  </si>
  <si>
    <t xml:space="preserve"> Central Florida Metro YMCA  </t>
  </si>
  <si>
    <t>Orlando</t>
  </si>
  <si>
    <t xml:space="preserve"> Highlands County Family YMCA  </t>
  </si>
  <si>
    <t>Sebring</t>
  </si>
  <si>
    <t xml:space="preserve"> Palm Beaches Metropolitan YMCA  </t>
  </si>
  <si>
    <t>West Palm Beach</t>
  </si>
  <si>
    <t xml:space="preserve"> YMCA of Northwest Florida  </t>
  </si>
  <si>
    <t>Pensacola</t>
  </si>
  <si>
    <t xml:space="preserve"> YMCA of Greater St. Petersburg  </t>
  </si>
  <si>
    <t>St. Petersburg</t>
  </si>
  <si>
    <t xml:space="preserve"> YMCA of the Treasure Coast  </t>
  </si>
  <si>
    <t>Stuart</t>
  </si>
  <si>
    <t xml:space="preserve"> Manatee County Family YMCA  </t>
  </si>
  <si>
    <t>Bradenton</t>
  </si>
  <si>
    <t xml:space="preserve"> Sarasota Family YMCA, Inc  </t>
  </si>
  <si>
    <t>Sarasota</t>
  </si>
  <si>
    <t xml:space="preserve"> South County Family YMCA  </t>
  </si>
  <si>
    <t>Venice</t>
  </si>
  <si>
    <t xml:space="preserve"> Capital Region YMCA  </t>
  </si>
  <si>
    <t>Tallahassee</t>
  </si>
  <si>
    <t xml:space="preserve"> Charlotte County Family YMCA-Admin Office  </t>
  </si>
  <si>
    <t>Port Charlotte</t>
  </si>
  <si>
    <t xml:space="preserve"> Tampa Metropolitan Area YMCA  </t>
  </si>
  <si>
    <t>Tampa</t>
  </si>
  <si>
    <t xml:space="preserve"> Volusia/Flagler Family YMCA  </t>
  </si>
  <si>
    <t>Deland</t>
  </si>
  <si>
    <t xml:space="preserve"> Athens YMCA  </t>
  </si>
  <si>
    <t>Athens</t>
  </si>
  <si>
    <t>GA</t>
  </si>
  <si>
    <t xml:space="preserve"> Albany YMCA  </t>
  </si>
  <si>
    <t>Albany</t>
  </si>
  <si>
    <t xml:space="preserve"> YMCA of Metropolitan Atlanta Inc.  </t>
  </si>
  <si>
    <t>Atlanta</t>
  </si>
  <si>
    <t xml:space="preserve"> YMCA of Georgia's Piedmont, Inc  </t>
  </si>
  <si>
    <t>Winder</t>
  </si>
  <si>
    <t xml:space="preserve"> Butler Street YMCA  </t>
  </si>
  <si>
    <t xml:space="preserve"> Metropolitan Augusta YMCA  </t>
  </si>
  <si>
    <t>Augusta</t>
  </si>
  <si>
    <t xml:space="preserve"> Bainbridge-Decatur County YMCA  </t>
  </si>
  <si>
    <t>Bainbridge</t>
  </si>
  <si>
    <t xml:space="preserve"> Columbus Metropolitan YMCA  </t>
  </si>
  <si>
    <t>Columbus</t>
  </si>
  <si>
    <t xml:space="preserve"> Moultrie YMCA  </t>
  </si>
  <si>
    <t>Moultrie</t>
  </si>
  <si>
    <t xml:space="preserve"> Georgia Mountains YMCA  </t>
  </si>
  <si>
    <t xml:space="preserve"> Rome-Floyd County YMCA  </t>
  </si>
  <si>
    <t>Rome</t>
  </si>
  <si>
    <t xml:space="preserve"> YMCA of Coastal Georgia Inc.  </t>
  </si>
  <si>
    <t>Savannah</t>
  </si>
  <si>
    <t xml:space="preserve"> West Broad Street YMCA  </t>
  </si>
  <si>
    <t xml:space="preserve"> State YMCA of Georgia  </t>
  </si>
  <si>
    <t>Chamblee</t>
  </si>
  <si>
    <t xml:space="preserve"> Tiftarea YMCA Inc.  </t>
  </si>
  <si>
    <t>Tifton</t>
  </si>
  <si>
    <t xml:space="preserve"> Thomasville YMCA &amp; Youth Center Inc.  </t>
  </si>
  <si>
    <t>Thomasville</t>
  </si>
  <si>
    <t xml:space="preserve"> Valdosta-Lowndes County YMCA  </t>
  </si>
  <si>
    <t>Valdosta</t>
  </si>
  <si>
    <t xml:space="preserve"> Toccoa-Stephens County YMCA Inc.  </t>
  </si>
  <si>
    <t>Toccoa</t>
  </si>
  <si>
    <t xml:space="preserve"> YMCAs of Waycross GA Inc.  </t>
  </si>
  <si>
    <t>Waycross</t>
  </si>
  <si>
    <t xml:space="preserve"> YMCA of Honolulu  </t>
  </si>
  <si>
    <t>Honolulu</t>
  </si>
  <si>
    <t>HI</t>
  </si>
  <si>
    <t xml:space="preserve"> YMCA of Kauai  </t>
  </si>
  <si>
    <t>Lihue</t>
  </si>
  <si>
    <t xml:space="preserve"> Maui Family YMCA  </t>
  </si>
  <si>
    <t>Kahului</t>
  </si>
  <si>
    <t xml:space="preserve"> The Island of Hawaii YMCA  </t>
  </si>
  <si>
    <t>Hilo</t>
  </si>
  <si>
    <t xml:space="preserve"> YMCA of Boise Inc.  </t>
  </si>
  <si>
    <t>Boise</t>
  </si>
  <si>
    <t>ID</t>
  </si>
  <si>
    <t xml:space="preserve"> YMCA of Idaho Falls Inc.  </t>
  </si>
  <si>
    <t>Idaho Falls</t>
  </si>
  <si>
    <t xml:space="preserve"> Wood River Community YMCA  </t>
  </si>
  <si>
    <t>Ketchum</t>
  </si>
  <si>
    <t xml:space="preserve"> YMCA of Twin Falls Inc.  </t>
  </si>
  <si>
    <t>Twin Falls</t>
  </si>
  <si>
    <t xml:space="preserve"> The West Cook YMCAs  </t>
  </si>
  <si>
    <t>Oak Park</t>
  </si>
  <si>
    <t>IL</t>
  </si>
  <si>
    <t xml:space="preserve"> YMCA of Berwyn-Cicero  </t>
  </si>
  <si>
    <t>Berwyn</t>
  </si>
  <si>
    <t xml:space="preserve"> YMCA of Belvidere  </t>
  </si>
  <si>
    <t>Belvidere</t>
  </si>
  <si>
    <t xml:space="preserve"> Bloomington YMCA  </t>
  </si>
  <si>
    <t>Bloomington</t>
  </si>
  <si>
    <t xml:space="preserve"> Wabash Valley YMCA  </t>
  </si>
  <si>
    <t>Mt. Carmel</t>
  </si>
  <si>
    <t xml:space="preserve"> YMCA of Canton  </t>
  </si>
  <si>
    <t>Canton</t>
  </si>
  <si>
    <t xml:space="preserve"> Champaign County YMCA  </t>
  </si>
  <si>
    <t>Champaign</t>
  </si>
  <si>
    <t xml:space="preserve"> YMCA of the University of Illinois  </t>
  </si>
  <si>
    <t xml:space="preserve"> YMCA of Metropolitan Chicago  </t>
  </si>
  <si>
    <t>Chicago</t>
  </si>
  <si>
    <t xml:space="preserve"> Clinton Community YMCA  </t>
  </si>
  <si>
    <t>Clinton</t>
  </si>
  <si>
    <t xml:space="preserve"> YMCA of Danville  </t>
  </si>
  <si>
    <t>Danville</t>
  </si>
  <si>
    <t xml:space="preserve"> Decatur Family YMCA  </t>
  </si>
  <si>
    <t>Decatur</t>
  </si>
  <si>
    <t xml:space="preserve"> Kishwaukee Family YMCA Inc.  </t>
  </si>
  <si>
    <t>De Kalb</t>
  </si>
  <si>
    <t xml:space="preserve"> Dixon Family YMCA  </t>
  </si>
  <si>
    <t>Dixon</t>
  </si>
  <si>
    <t xml:space="preserve"> YMCA of Southwest Illinois  </t>
  </si>
  <si>
    <t>Belleville</t>
  </si>
  <si>
    <t xml:space="preserve"> Effingham County Family YMCA  </t>
  </si>
  <si>
    <t>Effingham</t>
  </si>
  <si>
    <t xml:space="preserve"> Edwardsville YMCA  </t>
  </si>
  <si>
    <t>Edwardsville</t>
  </si>
  <si>
    <t xml:space="preserve"> YMCA of the Greater Elgin Area Elgin IL  </t>
  </si>
  <si>
    <t>Elgin</t>
  </si>
  <si>
    <t xml:space="preserve"> Alfred Campanelli YMCA  </t>
  </si>
  <si>
    <t>Schaumburg</t>
  </si>
  <si>
    <t xml:space="preserve"> McGaw YMCA  </t>
  </si>
  <si>
    <t>Evanston</t>
  </si>
  <si>
    <t xml:space="preserve"> Fayette County Family YMCA  </t>
  </si>
  <si>
    <t>Vandalia</t>
  </si>
  <si>
    <t xml:space="preserve"> YMCA of Northwest Illinois  </t>
  </si>
  <si>
    <t>Freeport</t>
  </si>
  <si>
    <t xml:space="preserve"> Tri-City Area YMCA  </t>
  </si>
  <si>
    <t>Granite City</t>
  </si>
  <si>
    <t xml:space="preserve"> Sherwood Eddy Memorial YMCA  </t>
  </si>
  <si>
    <t xml:space="preserve"> Joliet YMCA  </t>
  </si>
  <si>
    <t>Joliet</t>
  </si>
  <si>
    <t xml:space="preserve"> Kankakee Area YMCA  </t>
  </si>
  <si>
    <t>Kankakee</t>
  </si>
  <si>
    <t xml:space="preserve"> YMCA of Kewanee  </t>
  </si>
  <si>
    <t>Kewanee</t>
  </si>
  <si>
    <t xml:space="preserve"> Lincoln Area YMCA  </t>
  </si>
  <si>
    <t>Lincoln</t>
  </si>
  <si>
    <t xml:space="preserve"> YMCA of Knox County  </t>
  </si>
  <si>
    <t>Galesburg</t>
  </si>
  <si>
    <t xml:space="preserve"> YMCA of McHenry County  </t>
  </si>
  <si>
    <t>Crystal Lake</t>
  </si>
  <si>
    <t xml:space="preserve"> YMCA of Lombard IL  </t>
  </si>
  <si>
    <t>Lombard</t>
  </si>
  <si>
    <t xml:space="preserve"> YMCA of McDonough County  </t>
  </si>
  <si>
    <t>Macomb</t>
  </si>
  <si>
    <t xml:space="preserve"> Two Rivers YMCA  </t>
  </si>
  <si>
    <t>Moline</t>
  </si>
  <si>
    <t xml:space="preserve"> Paris Community YMCA  </t>
  </si>
  <si>
    <t>Paris</t>
  </si>
  <si>
    <t xml:space="preserve"> Mattoon Area Family YMCA  </t>
  </si>
  <si>
    <t>Mattoon</t>
  </si>
  <si>
    <t xml:space="preserve"> YMCA of Jefferson County  </t>
  </si>
  <si>
    <t>Mt. Vernon</t>
  </si>
  <si>
    <t xml:space="preserve"> Heritage YMCA Group  </t>
  </si>
  <si>
    <t>Naperville</t>
  </si>
  <si>
    <t xml:space="preserve"> North Suburban YMCA  </t>
  </si>
  <si>
    <t>Northbrook</t>
  </si>
  <si>
    <t xml:space="preserve"> YMCA of Northwestern Dupage County  </t>
  </si>
  <si>
    <t>Glen Ellyn</t>
  </si>
  <si>
    <t xml:space="preserve"> YMCA of Ottawa Illinois  </t>
  </si>
  <si>
    <t>Ottawa</t>
  </si>
  <si>
    <t xml:space="preserve"> Fox Valley Family YMCA Inc.  </t>
  </si>
  <si>
    <t>Plano</t>
  </si>
  <si>
    <t xml:space="preserve"> Greater Peoria Family YMCA  </t>
  </si>
  <si>
    <t>Peoria</t>
  </si>
  <si>
    <t xml:space="preserve"> Illinois Valley YMCA Inc.  </t>
  </si>
  <si>
    <t>Peru</t>
  </si>
  <si>
    <t xml:space="preserve"> Quincy YMCA  </t>
  </si>
  <si>
    <t>Quincy</t>
  </si>
  <si>
    <t xml:space="preserve"> YMCA of Rock River Valley  </t>
  </si>
  <si>
    <t>Rockford</t>
  </si>
  <si>
    <t xml:space="preserve"> YMCA of Springfield  </t>
  </si>
  <si>
    <t>Springfield</t>
  </si>
  <si>
    <t xml:space="preserve"> Sterling-Rock Falls Family YMCA  </t>
  </si>
  <si>
    <t>Sterling</t>
  </si>
  <si>
    <t xml:space="preserve"> Streator Family YMCA  </t>
  </si>
  <si>
    <t>Streator</t>
  </si>
  <si>
    <t xml:space="preserve"> Christian County YMCA  </t>
  </si>
  <si>
    <t>Taylorville</t>
  </si>
  <si>
    <t xml:space="preserve"> YMCA of Warren County  </t>
  </si>
  <si>
    <t>Monmouth</t>
  </si>
  <si>
    <t xml:space="preserve"> Mercer County Family YMCA  </t>
  </si>
  <si>
    <t>Aledo</t>
  </si>
  <si>
    <t xml:space="preserve"> Lake County Family YMCA  </t>
  </si>
  <si>
    <t>Waukegan</t>
  </si>
  <si>
    <t xml:space="preserve"> Camp Jorn 2 YMCA Inc.  </t>
  </si>
  <si>
    <t xml:space="preserve"> YMCA of Dekalb County Inc.  </t>
  </si>
  <si>
    <t>Auburn</t>
  </si>
  <si>
    <t>IN</t>
  </si>
  <si>
    <t xml:space="preserve"> Southeastern Indiana YMCA  </t>
  </si>
  <si>
    <t>Batesville</t>
  </si>
  <si>
    <t xml:space="preserve"> YMCA of Monroe County Inc.  </t>
  </si>
  <si>
    <t xml:space="preserve"> Illinois YMCA Youth and Government  </t>
  </si>
  <si>
    <t xml:space="preserve"> YMCA of Clay County  </t>
  </si>
  <si>
    <t>Brazil</t>
  </si>
  <si>
    <t xml:space="preserve"> Clinton County Family YMCA  </t>
  </si>
  <si>
    <t>Frankfort</t>
  </si>
  <si>
    <t xml:space="preserve"> Carroll County Community Center YMCA  </t>
  </si>
  <si>
    <t>Flora</t>
  </si>
  <si>
    <t xml:space="preserve"> Daviess County Family YMCA  </t>
  </si>
  <si>
    <t xml:space="preserve"> Scott County Family YMCA  </t>
  </si>
  <si>
    <t>Scottsburg</t>
  </si>
  <si>
    <t xml:space="preserve"> Decatur County Family YMCA Inc.  </t>
  </si>
  <si>
    <t>Greensburg</t>
  </si>
  <si>
    <t xml:space="preserve"> Jennings County Family YMCA  </t>
  </si>
  <si>
    <t>North Vernon</t>
  </si>
  <si>
    <t xml:space="preserve"> YMCA of Elkhart County Inc.  </t>
  </si>
  <si>
    <t>Elkhart</t>
  </si>
  <si>
    <t xml:space="preserve"> YMCA of Southwestern Indiana  </t>
  </si>
  <si>
    <t>Evansville</t>
  </si>
  <si>
    <t xml:space="preserve"> YMCA of Greater Fort Wayne  </t>
  </si>
  <si>
    <t>Fort Wayne</t>
  </si>
  <si>
    <t xml:space="preserve"> Owen County Family YMCA  </t>
  </si>
  <si>
    <t>Spencer</t>
  </si>
  <si>
    <t xml:space="preserve"> Southlake YMCA Inc.  </t>
  </si>
  <si>
    <t>Crown Point</t>
  </si>
  <si>
    <t xml:space="preserve"> Hobart Family YMCA Inc.  </t>
  </si>
  <si>
    <t>Hobart</t>
  </si>
  <si>
    <t xml:space="preserve"> YMCA of the Hammond Area Inc.  </t>
  </si>
  <si>
    <t>Hammond</t>
  </si>
  <si>
    <t xml:space="preserve"> Brown County Community YMCA  </t>
  </si>
  <si>
    <t>Nashville</t>
  </si>
  <si>
    <t xml:space="preserve"> Huntington YMCA  </t>
  </si>
  <si>
    <t>Huntington</t>
  </si>
  <si>
    <t xml:space="preserve"> YMCA of Greater Indianapolis  </t>
  </si>
  <si>
    <t>Indianapolis</t>
  </si>
  <si>
    <t xml:space="preserve"> YMCA of Harrison County  </t>
  </si>
  <si>
    <t>Corydon</t>
  </si>
  <si>
    <t xml:space="preserve"> Wabash County YMCA  </t>
  </si>
  <si>
    <t>Wabash</t>
  </si>
  <si>
    <t xml:space="preserve"> Boone County Family YMCA Inc  </t>
  </si>
  <si>
    <t>Lebanon</t>
  </si>
  <si>
    <t xml:space="preserve"> Washington County Family YMCA  </t>
  </si>
  <si>
    <t>Salem</t>
  </si>
  <si>
    <t xml:space="preserve"> Switzerland County YMCA  </t>
  </si>
  <si>
    <t>Vevay</t>
  </si>
  <si>
    <t xml:space="preserve"> YMCA of Southern Indiana  </t>
  </si>
  <si>
    <t>Jeffersonville</t>
  </si>
  <si>
    <t xml:space="preserve"> Barbara B. Jordan YMCA Inc.  </t>
  </si>
  <si>
    <t>Martinsville</t>
  </si>
  <si>
    <t xml:space="preserve"> Cole Center Family YMCA  </t>
  </si>
  <si>
    <t>Kendalville</t>
  </si>
  <si>
    <t xml:space="preserve"> YMCA of Kokomo Indiana  </t>
  </si>
  <si>
    <t>Kokomo</t>
  </si>
  <si>
    <t xml:space="preserve"> Kosciusko Community YMCA Inc.  </t>
  </si>
  <si>
    <t>Warsaw</t>
  </si>
  <si>
    <t xml:space="preserve"> YMCA of Lafayette Indiana  </t>
  </si>
  <si>
    <t>Lafayette</t>
  </si>
  <si>
    <t xml:space="preserve"> YMCA of La Porte Indiana  </t>
  </si>
  <si>
    <t>La Porte</t>
  </si>
  <si>
    <t xml:space="preserve"> Breeden YMCA  </t>
  </si>
  <si>
    <t>Angola</t>
  </si>
  <si>
    <t xml:space="preserve"> Cass County Family YMCA Inc.  </t>
  </si>
  <si>
    <t>Logansport</t>
  </si>
  <si>
    <t xml:space="preserve"> Pulaski County Family YMCA  </t>
  </si>
  <si>
    <t>Winamac</t>
  </si>
  <si>
    <t xml:space="preserve"> YMCA of Madison County Inc.  </t>
  </si>
  <si>
    <t>Anderson</t>
  </si>
  <si>
    <t xml:space="preserve"> YMCA of Grant County  </t>
  </si>
  <si>
    <t>Marion</t>
  </si>
  <si>
    <t xml:space="preserve"> YMCA of Muncie Indiana Inc.  </t>
  </si>
  <si>
    <t>Muncie</t>
  </si>
  <si>
    <t xml:space="preserve"> Henry County YMCA  </t>
  </si>
  <si>
    <t>New Castle</t>
  </si>
  <si>
    <t xml:space="preserve"> Miami County YMCA  </t>
  </si>
  <si>
    <t xml:space="preserve"> YMCA of Valparaiso Indiana Inc.  </t>
  </si>
  <si>
    <t>Valparaiso</t>
  </si>
  <si>
    <t xml:space="preserve"> YMCA of Portage Township Inc.  </t>
  </si>
  <si>
    <t>Portage</t>
  </si>
  <si>
    <t xml:space="preserve"> Duneland Family YMCA  </t>
  </si>
  <si>
    <t>Chesterton</t>
  </si>
  <si>
    <t xml:space="preserve"> YMCA of Richmond  </t>
  </si>
  <si>
    <t>Richmond</t>
  </si>
  <si>
    <t xml:space="preserve"> Randolph County YMCA  </t>
  </si>
  <si>
    <t>Winchester</t>
  </si>
  <si>
    <t xml:space="preserve"> YMCA of Vincennes Indiana  </t>
  </si>
  <si>
    <t>Vincennes</t>
  </si>
  <si>
    <t xml:space="preserve"> Nishna Valley Family YMCA  </t>
  </si>
  <si>
    <t>Atlantic</t>
  </si>
  <si>
    <t>IA</t>
  </si>
  <si>
    <t xml:space="preserve"> Algona Family YMCA  </t>
  </si>
  <si>
    <t>Algona</t>
  </si>
  <si>
    <t xml:space="preserve"> Tri-County YMCA  </t>
  </si>
  <si>
    <t>Ferdinand</t>
  </si>
  <si>
    <t xml:space="preserve"> Burlington Area Community YMCA-YWCA  </t>
  </si>
  <si>
    <t>Burlington</t>
  </si>
  <si>
    <t xml:space="preserve"> YMCA of the Cedar Rapids Metropolitan Area  </t>
  </si>
  <si>
    <t>Cedar Rapids</t>
  </si>
  <si>
    <t xml:space="preserve"> Family YMCA of Charles City Iowa  </t>
  </si>
  <si>
    <t>Charles City</t>
  </si>
  <si>
    <t xml:space="preserve"> YMCA of Clinton Iowa Inc.  </t>
  </si>
  <si>
    <t xml:space="preserve"> Southern Prairie YMCA  </t>
  </si>
  <si>
    <t>Creston</t>
  </si>
  <si>
    <t>Davenport</t>
  </si>
  <si>
    <t xml:space="preserve"> YMCA of Greater Des Moines Iowa  </t>
  </si>
  <si>
    <t>Des Moines</t>
  </si>
  <si>
    <t xml:space="preserve"> YMCA of Forest City Iowa  </t>
  </si>
  <si>
    <t>Forest City</t>
  </si>
  <si>
    <t xml:space="preserve"> YMCA of Northeast Iowa, Inc  </t>
  </si>
  <si>
    <t>Postville</t>
  </si>
  <si>
    <t xml:space="preserve"> YMCA of Dubuque Iowa  </t>
  </si>
  <si>
    <t>Dubuque</t>
  </si>
  <si>
    <t xml:space="preserve"> YMCA of Fort Dodge Iowa  </t>
  </si>
  <si>
    <t>Fort Dodge</t>
  </si>
  <si>
    <t xml:space="preserve"> Fort Madison Family YMCA  </t>
  </si>
  <si>
    <t>Fort Madison</t>
  </si>
  <si>
    <t xml:space="preserve"> Hoerner YMCA  </t>
  </si>
  <si>
    <t>Keokuk</t>
  </si>
  <si>
    <t xml:space="preserve"> Le Mars Area Family YMCA  </t>
  </si>
  <si>
    <t>Le Mars</t>
  </si>
  <si>
    <t xml:space="preserve"> YMCA of Marshalltown Iowa  </t>
  </si>
  <si>
    <t>Marshalltown</t>
  </si>
  <si>
    <t xml:space="preserve"> Mason City Family YMCA  </t>
  </si>
  <si>
    <t>Mason City</t>
  </si>
  <si>
    <t xml:space="preserve"> Muscatine Community YMCA  </t>
  </si>
  <si>
    <t>Muscatine</t>
  </si>
  <si>
    <t xml:space="preserve"> YMCA of Newton Iowa Inc.  </t>
  </si>
  <si>
    <t>Newton</t>
  </si>
  <si>
    <t xml:space="preserve"> YMCA of Oskaloosa Iowa  </t>
  </si>
  <si>
    <t>Oskaloosa</t>
  </si>
  <si>
    <t xml:space="preserve"> YMCA of Ottumwa Iowa  </t>
  </si>
  <si>
    <t>Ottumwa</t>
  </si>
  <si>
    <t xml:space="preserve"> Montgomery County Family YMCA  </t>
  </si>
  <si>
    <t>Red Oak</t>
  </si>
  <si>
    <t xml:space="preserve"> Siouxland YMCA  </t>
  </si>
  <si>
    <t>South Sioux City</t>
  </si>
  <si>
    <t>NE</t>
  </si>
  <si>
    <t xml:space="preserve"> YMCA of Spencer Iowa  </t>
  </si>
  <si>
    <t xml:space="preserve"> YMCA of Washington Iowa  </t>
  </si>
  <si>
    <t xml:space="preserve"> Family YMCA of Black Hawk County  </t>
  </si>
  <si>
    <t>Waterloo</t>
  </si>
  <si>
    <t xml:space="preserve"> YMCA of Atchison Kansas  </t>
  </si>
  <si>
    <t>Atchison</t>
  </si>
  <si>
    <t>KS</t>
  </si>
  <si>
    <t xml:space="preserve"> Camp Wood YMCA  </t>
  </si>
  <si>
    <t>Elmdale</t>
  </si>
  <si>
    <t xml:space="preserve"> Garden City Family YMCA  </t>
  </si>
  <si>
    <t>Garden City</t>
  </si>
  <si>
    <t xml:space="preserve"> YMCA of Hutchinson and Reno County  </t>
  </si>
  <si>
    <t>Hutchinson</t>
  </si>
  <si>
    <t xml:space="preserve"> Junction City Family YMCA Inc.  </t>
  </si>
  <si>
    <t>Junction City</t>
  </si>
  <si>
    <t xml:space="preserve"> McPherson Family YMCA  </t>
  </si>
  <si>
    <t>McPherson</t>
  </si>
  <si>
    <t xml:space="preserve"> YMCA of Pittsburg  </t>
  </si>
  <si>
    <t>Pittsburg</t>
  </si>
  <si>
    <t xml:space="preserve"> YMCA of Salina Kansas  </t>
  </si>
  <si>
    <t>Salina</t>
  </si>
  <si>
    <t xml:space="preserve"> YMCA of Topeka Kansas  </t>
  </si>
  <si>
    <t>Topeka</t>
  </si>
  <si>
    <t xml:space="preserve"> YMCA of Wichita Kansas  </t>
  </si>
  <si>
    <t>Wichita</t>
  </si>
  <si>
    <t xml:space="preserve"> Ashland Area YMCA  </t>
  </si>
  <si>
    <t>Ashland</t>
  </si>
  <si>
    <t>KY</t>
  </si>
  <si>
    <t xml:space="preserve"> Barren County Family YMCA  </t>
  </si>
  <si>
    <t>Glasgow</t>
  </si>
  <si>
    <t xml:space="preserve"> Frankfort YMCA  </t>
  </si>
  <si>
    <t xml:space="preserve"> YMCA of Central Kentucky  </t>
  </si>
  <si>
    <t>Lexington</t>
  </si>
  <si>
    <t xml:space="preserve"> Paris-Bourbon County YMCA  </t>
  </si>
  <si>
    <t xml:space="preserve"> YMCA of Winchester  </t>
  </si>
  <si>
    <t xml:space="preserve"> Henderson County Family YMCA  </t>
  </si>
  <si>
    <t>Henderson</t>
  </si>
  <si>
    <t xml:space="preserve"> Limestone Family YMCA  </t>
  </si>
  <si>
    <t>Maysville</t>
  </si>
  <si>
    <t xml:space="preserve"> YMCA of Greater Louisville  </t>
  </si>
  <si>
    <t>Louisville</t>
  </si>
  <si>
    <t xml:space="preserve"> Hopkins County Family YMCA  </t>
  </si>
  <si>
    <t>Madisonville</t>
  </si>
  <si>
    <t xml:space="preserve"> Pikeville Area Family YMCA  </t>
  </si>
  <si>
    <t>Pikeville</t>
  </si>
  <si>
    <t xml:space="preserve"> YMCA of Owensboro/Daviess County  </t>
  </si>
  <si>
    <t>Owensboro</t>
  </si>
  <si>
    <t xml:space="preserve"> Union County YMCA  </t>
  </si>
  <si>
    <t>Morganfield</t>
  </si>
  <si>
    <t xml:space="preserve"> Hopkinsville/Christian County Family YMCA  </t>
  </si>
  <si>
    <t>Hopkinsville</t>
  </si>
  <si>
    <t xml:space="preserve"> Blakley Family YMCA  </t>
  </si>
  <si>
    <t>Somerset</t>
  </si>
  <si>
    <t xml:space="preserve"> Telford Community Center YMCA  </t>
  </si>
  <si>
    <t xml:space="preserve"> YMCA of Mayfield/Graves County  </t>
  </si>
  <si>
    <t>Mayfield</t>
  </si>
  <si>
    <t xml:space="preserve"> Kentucky YMCA Youth Association Inc.  </t>
  </si>
  <si>
    <t xml:space="preserve"> Wilderness Trace Family YMCA  </t>
  </si>
  <si>
    <t>Harrodsburg</t>
  </si>
  <si>
    <t xml:space="preserve"> YMCA of Central Louisiana  </t>
  </si>
  <si>
    <t>Alexandria</t>
  </si>
  <si>
    <t>LA</t>
  </si>
  <si>
    <t xml:space="preserve"> YMCA of the Capital Area  </t>
  </si>
  <si>
    <t>Baton Rouge</t>
  </si>
  <si>
    <t xml:space="preserve"> Bogalusa YMCA  </t>
  </si>
  <si>
    <t>Bogalusa</t>
  </si>
  <si>
    <t xml:space="preserve"> Twin Lakes Family YMCA  </t>
  </si>
  <si>
    <t xml:space="preserve"> Lafayette Louisiana YMCA  </t>
  </si>
  <si>
    <t xml:space="preserve"> YMCA of Northeast Louisiana  </t>
  </si>
  <si>
    <t>Monroe</t>
  </si>
  <si>
    <t xml:space="preserve"> YMCA of Greater New Orleans  </t>
  </si>
  <si>
    <t>New Orleans, La. 70130</t>
  </si>
  <si>
    <t xml:space="preserve"> Dryades YMCA  </t>
  </si>
  <si>
    <t>New Orleans</t>
  </si>
  <si>
    <t xml:space="preserve"> Shreveport Bossier Metro YMCA  </t>
  </si>
  <si>
    <t>Shreveport</t>
  </si>
  <si>
    <t xml:space="preserve"> State YMCA of Maine  </t>
  </si>
  <si>
    <t>Winthrop</t>
  </si>
  <si>
    <t>ME</t>
  </si>
  <si>
    <t xml:space="preserve"> Waterville Area YMCA  </t>
  </si>
  <si>
    <t>Waterville</t>
  </si>
  <si>
    <t xml:space="preserve"> Old Town-Orono YMCA  </t>
  </si>
  <si>
    <t>Old Town</t>
  </si>
  <si>
    <t xml:space="preserve"> Boothbay Region YMCA  </t>
  </si>
  <si>
    <t>Boothbay Harbor</t>
  </si>
  <si>
    <t xml:space="preserve"> Down East Family YMCA  </t>
  </si>
  <si>
    <t>Ellsworth</t>
  </si>
  <si>
    <t xml:space="preserve"> Waldo County YMCA  </t>
  </si>
  <si>
    <t>Belfast</t>
  </si>
  <si>
    <t xml:space="preserve"> Kennebec Valley YMCA  </t>
  </si>
  <si>
    <t xml:space="preserve"> Piscataquis Regional YMCA  </t>
  </si>
  <si>
    <t>Dover Foxcroft</t>
  </si>
  <si>
    <t xml:space="preserve"> Auburn-Lewiston YMCA  </t>
  </si>
  <si>
    <t xml:space="preserve"> Central Lincoln County YMCA  </t>
  </si>
  <si>
    <t>Damariscotta</t>
  </si>
  <si>
    <t xml:space="preserve"> Bangor YMCA  </t>
  </si>
  <si>
    <t>Bangor</t>
  </si>
  <si>
    <t xml:space="preserve"> Mount Desert Island YMCA  </t>
  </si>
  <si>
    <t>Bar Harbor</t>
  </si>
  <si>
    <t xml:space="preserve"> Bath Area Family YMCA  </t>
  </si>
  <si>
    <t>Bath</t>
  </si>
  <si>
    <t xml:space="preserve"> Northern York County Family YMCA  </t>
  </si>
  <si>
    <t>Biddeford</t>
  </si>
  <si>
    <t xml:space="preserve"> Penobscot Bay YMCA  </t>
  </si>
  <si>
    <t>Rockport</t>
  </si>
  <si>
    <t xml:space="preserve"> Cumberland County YMCA  </t>
  </si>
  <si>
    <t>Portland</t>
  </si>
  <si>
    <t xml:space="preserve"> Sanford-Springvale YMCA  </t>
  </si>
  <si>
    <t>Sanford</t>
  </si>
  <si>
    <t xml:space="preserve"> YMCA of Central Maryland  </t>
  </si>
  <si>
    <t>Baltimore</t>
  </si>
  <si>
    <t>MD</t>
  </si>
  <si>
    <t xml:space="preserve"> YMCA of Cumberland MD  </t>
  </si>
  <si>
    <t>Cumberland</t>
  </si>
  <si>
    <t xml:space="preserve"> Dorchester County Family YMCA Inc.  </t>
  </si>
  <si>
    <t>Cambridge</t>
  </si>
  <si>
    <t xml:space="preserve"> YMCA of Cecil County Inc.  </t>
  </si>
  <si>
    <t>Elkton</t>
  </si>
  <si>
    <t xml:space="preserve"> YMCA of Hagerstown Maryland Inc.  </t>
  </si>
  <si>
    <t>Hagerstown</t>
  </si>
  <si>
    <t xml:space="preserve"> YMCA of Frederick County MD Inc.  </t>
  </si>
  <si>
    <t>Frederick</t>
  </si>
  <si>
    <t xml:space="preserve"> Mid-Delmarva Family YMCA  </t>
  </si>
  <si>
    <t>Salisbury</t>
  </si>
  <si>
    <t xml:space="preserve"> YMCA of Talbot County Inc.  </t>
  </si>
  <si>
    <t>Easton</t>
  </si>
  <si>
    <t xml:space="preserve"> Athol YMCA  </t>
  </si>
  <si>
    <t>Athol</t>
  </si>
  <si>
    <t>MA</t>
  </si>
  <si>
    <t xml:space="preserve"> YMCA of Attleboro  </t>
  </si>
  <si>
    <t>Attleboro</t>
  </si>
  <si>
    <t xml:space="preserve"> Becket-Chimney Corners YMCA Camps &amp; Out  </t>
  </si>
  <si>
    <t>Becket</t>
  </si>
  <si>
    <t xml:space="preserve"> YMCA of Greater Boston  </t>
  </si>
  <si>
    <t>Boston</t>
  </si>
  <si>
    <t xml:space="preserve"> Old Colony YMCA  </t>
  </si>
  <si>
    <t>Brockton</t>
  </si>
  <si>
    <t xml:space="preserve"> Cape Cod Young Men's Christian Association  </t>
  </si>
  <si>
    <t>West Barnstable</t>
  </si>
  <si>
    <t xml:space="preserve"> Cambridge YMCA  </t>
  </si>
  <si>
    <t xml:space="preserve"> YMCA of Chelsea Mass  </t>
  </si>
  <si>
    <t>Chelsea</t>
  </si>
  <si>
    <t xml:space="preserve"> Community YMCA of Danvers MA Inc.  </t>
  </si>
  <si>
    <t>Danvers</t>
  </si>
  <si>
    <t xml:space="preserve"> YMCA of Martha's Vineyard  </t>
  </si>
  <si>
    <t>Martha's Vineyard</t>
  </si>
  <si>
    <t xml:space="preserve"> Montachusett Regional YMCA  </t>
  </si>
  <si>
    <t>Fitchburg</t>
  </si>
  <si>
    <t xml:space="preserve"> Greenfield YMCA  </t>
  </si>
  <si>
    <t>Greenfield</t>
  </si>
  <si>
    <t xml:space="preserve"> Greater Holyoke YMCA  </t>
  </si>
  <si>
    <t>Holyoke</t>
  </si>
  <si>
    <t xml:space="preserve"> Merrimack Valley YMCA Inc.  </t>
  </si>
  <si>
    <t>Lawrence</t>
  </si>
  <si>
    <t xml:space="preserve"> Greater Lowell Family YMCA  </t>
  </si>
  <si>
    <t>Lowell</t>
  </si>
  <si>
    <t xml:space="preserve"> Greater Lynn YMCA  </t>
  </si>
  <si>
    <t>Lynn</t>
  </si>
  <si>
    <t xml:space="preserve"> Malden YMCA  </t>
  </si>
  <si>
    <t>Malden</t>
  </si>
  <si>
    <t xml:space="preserve"> YMCA of Melrose Massachusetts  </t>
  </si>
  <si>
    <t>Melrose</t>
  </si>
  <si>
    <t xml:space="preserve"> YMCA Southcoast  </t>
  </si>
  <si>
    <t>New Bedford</t>
  </si>
  <si>
    <t xml:space="preserve"> West Suburban YMCA  </t>
  </si>
  <si>
    <t xml:space="preserve"> Northern Berkshire YMCA  </t>
  </si>
  <si>
    <t>North Adams</t>
  </si>
  <si>
    <t xml:space="preserve"> Hampshire Regional YMCA  </t>
  </si>
  <si>
    <t>Northampton</t>
  </si>
  <si>
    <t xml:space="preserve"> Hockomock Area YMCA  </t>
  </si>
  <si>
    <t>North Attleboro</t>
  </si>
  <si>
    <t xml:space="preserve"> Pittsfield Family YMCA  </t>
  </si>
  <si>
    <t>Pittsfield</t>
  </si>
  <si>
    <t xml:space="preserve"> South Shore YMCA  </t>
  </si>
  <si>
    <t xml:space="preserve"> MetroWest YMCA Inc.  </t>
  </si>
  <si>
    <t>Framingham</t>
  </si>
  <si>
    <t xml:space="preserve"> YMCA of the North Shore  </t>
  </si>
  <si>
    <t>Beverly</t>
  </si>
  <si>
    <t xml:space="preserve"> Somerville YMCA  </t>
  </si>
  <si>
    <t>Somerville</t>
  </si>
  <si>
    <t xml:space="preserve"> Tri-Community YMCA of Southbridge Inc.  </t>
  </si>
  <si>
    <t>Southbridge</t>
  </si>
  <si>
    <t xml:space="preserve"> YMCA of Greater Springfield Inc.  </t>
  </si>
  <si>
    <t xml:space="preserve"> YMCA of Greater Westfield Inc.  </t>
  </si>
  <si>
    <t>Westfield</t>
  </si>
  <si>
    <t xml:space="preserve"> YMCA of Central Massachusetts  </t>
  </si>
  <si>
    <t>Worcester</t>
  </si>
  <si>
    <t xml:space="preserve"> State YMCA of Michigan  </t>
  </si>
  <si>
    <t>Central Lake</t>
  </si>
  <si>
    <t>MI</t>
  </si>
  <si>
    <t xml:space="preserve"> Ann Arbor YMCA  </t>
  </si>
  <si>
    <t>Ann Arbor</t>
  </si>
  <si>
    <t xml:space="preserve"> YMCA of Barry County  </t>
  </si>
  <si>
    <t>Hastings</t>
  </si>
  <si>
    <t xml:space="preserve"> Battle Creek Family YMCA  </t>
  </si>
  <si>
    <t>Battle Creek</t>
  </si>
  <si>
    <t xml:space="preserve"> Bay Area Family YMCA  </t>
  </si>
  <si>
    <t>Bay City</t>
  </si>
  <si>
    <t xml:space="preserve"> Benton Harbor-St. Joseph YMCA  </t>
  </si>
  <si>
    <t>Saint Joseph</t>
  </si>
  <si>
    <t xml:space="preserve"> YMCA of Metropolitan Detroit  </t>
  </si>
  <si>
    <t>Detroit</t>
  </si>
  <si>
    <t xml:space="preserve"> YMCA of Delta County  </t>
  </si>
  <si>
    <t>Escanaba</t>
  </si>
  <si>
    <t xml:space="preserve"> YMCA of Greater Flint  </t>
  </si>
  <si>
    <t>Flint</t>
  </si>
  <si>
    <t xml:space="preserve"> YMCA of Greater Grand Rapids  </t>
  </si>
  <si>
    <t>Grand Rapids</t>
  </si>
  <si>
    <t xml:space="preserve"> Cadillac Area YMCA  </t>
  </si>
  <si>
    <t>Cadillac</t>
  </si>
  <si>
    <t xml:space="preserve"> Grand Traverse Bay YMCA  </t>
  </si>
  <si>
    <t>Traverse City</t>
  </si>
  <si>
    <t xml:space="preserve"> Kimball Camp YMCA Nature Center  </t>
  </si>
  <si>
    <t>Reading</t>
  </si>
  <si>
    <t xml:space="preserve"> YMCA of Marquette County  </t>
  </si>
  <si>
    <t>Marquette</t>
  </si>
  <si>
    <t xml:space="preserve"> Jackson YMCA Center Inc.  </t>
  </si>
  <si>
    <t>Jackson</t>
  </si>
  <si>
    <t xml:space="preserve"> Kalamazoo County Family YMCA  </t>
  </si>
  <si>
    <t>Kalamazoo</t>
  </si>
  <si>
    <t xml:space="preserve"> YMCA of Metropolitan Lansing  </t>
  </si>
  <si>
    <t>Lansing</t>
  </si>
  <si>
    <t xml:space="preserve"> YMCA of Lenawee County  </t>
  </si>
  <si>
    <t>Adrian</t>
  </si>
  <si>
    <t xml:space="preserve"> Monroe Family YMCA  </t>
  </si>
  <si>
    <t xml:space="preserve"> Muskegon Family YMCA  </t>
  </si>
  <si>
    <t>Muskegon</t>
  </si>
  <si>
    <t xml:space="preserve"> Niles-Buchanan YMCA  </t>
  </si>
  <si>
    <t>Niles</t>
  </si>
  <si>
    <t xml:space="preserve"> Shiawassee Family YMCA  </t>
  </si>
  <si>
    <t>Owosso</t>
  </si>
  <si>
    <t xml:space="preserve"> YMCA of the Blue Water Area  </t>
  </si>
  <si>
    <t>Port Huron</t>
  </si>
  <si>
    <t xml:space="preserve"> YMCA of Saginaw  </t>
  </si>
  <si>
    <t>Saginaw</t>
  </si>
  <si>
    <t xml:space="preserve"> Tri-Cities Family YMCA  </t>
  </si>
  <si>
    <t>Grand Haven</t>
  </si>
  <si>
    <t xml:space="preserve"> Sherman Lake YMCA Outdoor Center  </t>
  </si>
  <si>
    <t xml:space="preserve"> Albert Lea Family YMCA  </t>
  </si>
  <si>
    <t>Albert Lea</t>
  </si>
  <si>
    <t>MN</t>
  </si>
  <si>
    <t xml:space="preserve"> YMCA of Austin Minnesota  </t>
  </si>
  <si>
    <t>Austin</t>
  </si>
  <si>
    <t xml:space="preserve"> Brainerd Family YMCA Inc.  </t>
  </si>
  <si>
    <t>Brainerd</t>
  </si>
  <si>
    <t xml:space="preserve"> Duluth Area Family YMCA  </t>
  </si>
  <si>
    <t>Duluth</t>
  </si>
  <si>
    <t xml:space="preserve"> Fergus Falls Area Family YMCA  </t>
  </si>
  <si>
    <t>Fergus Falls</t>
  </si>
  <si>
    <t xml:space="preserve"> Itasca County Family YMCA  </t>
  </si>
  <si>
    <t xml:space="preserve"> Kandiyohi County Area Family YMCA  </t>
  </si>
  <si>
    <t>Willmar</t>
  </si>
  <si>
    <t xml:space="preserve"> YMCA of Mankato  </t>
  </si>
  <si>
    <t>Mankato</t>
  </si>
  <si>
    <t xml:space="preserve"> Mesabi Family YMCA Inc.  </t>
  </si>
  <si>
    <t>Virginia</t>
  </si>
  <si>
    <t xml:space="preserve"> YMCA of Metropolitan Minneapolis  </t>
  </si>
  <si>
    <t>Minneapolis</t>
  </si>
  <si>
    <t xml:space="preserve"> Marshall Area YMCA  </t>
  </si>
  <si>
    <t>Marshall</t>
  </si>
  <si>
    <t xml:space="preserve"> YMCA of Red Wing Minnesota  </t>
  </si>
  <si>
    <t>Red Wing</t>
  </si>
  <si>
    <t xml:space="preserve"> YMCA of Rochester Inc.  </t>
  </si>
  <si>
    <t>Rochester</t>
  </si>
  <si>
    <t xml:space="preserve"> YMCA Camp Olson  </t>
  </si>
  <si>
    <t>Longville</t>
  </si>
  <si>
    <t xml:space="preserve"> St. Cloud Area Family YMCA  </t>
  </si>
  <si>
    <t>Saint Cloud</t>
  </si>
  <si>
    <t xml:space="preserve"> YMCA of Greater Saint Paul  </t>
  </si>
  <si>
    <t xml:space="preserve"> Worthington Area YMCA  </t>
  </si>
  <si>
    <t>Worthington</t>
  </si>
  <si>
    <t xml:space="preserve"> Winona Family YMCA Inc.  </t>
  </si>
  <si>
    <t>Winona</t>
  </si>
  <si>
    <t xml:space="preserve"> Lakes Area YMCA  </t>
  </si>
  <si>
    <t xml:space="preserve"> Frank P. Phillips Memorial YMCA  </t>
  </si>
  <si>
    <t>MS</t>
  </si>
  <si>
    <t xml:space="preserve"> Northfield Area Family YMCA  </t>
  </si>
  <si>
    <t>Northfield</t>
  </si>
  <si>
    <t xml:space="preserve"> Hodding Carter Memorial YMCA  </t>
  </si>
  <si>
    <t>Greenville</t>
  </si>
  <si>
    <t xml:space="preserve"> Family YMCA of Southeast Mississippi Inc.  </t>
  </si>
  <si>
    <t>Hattiesburg</t>
  </si>
  <si>
    <t xml:space="preserve"> Mississippi Gulf Coast YMCA  </t>
  </si>
  <si>
    <t>Ocean Springs</t>
  </si>
  <si>
    <t xml:space="preserve"> Jackson Metropolitan YMCA  </t>
  </si>
  <si>
    <t xml:space="preserve"> Junius Ward Johnson YMCA  </t>
  </si>
  <si>
    <t>Vicksburg</t>
  </si>
  <si>
    <t xml:space="preserve"> University Y of the University of Missouri  </t>
  </si>
  <si>
    <t>Columbia</t>
  </si>
  <si>
    <t>MO</t>
  </si>
  <si>
    <t xml:space="preserve"> Long Branch Area YMCA  </t>
  </si>
  <si>
    <t>Macon</t>
  </si>
  <si>
    <t xml:space="preserve"> Grand River Area Family YMCA Inc.  </t>
  </si>
  <si>
    <t>Chillicothe</t>
  </si>
  <si>
    <t xml:space="preserve"> YMCA of Hannibal  </t>
  </si>
  <si>
    <t>Hannibal</t>
  </si>
  <si>
    <t xml:space="preserve"> Jefferson City Area YMCA  </t>
  </si>
  <si>
    <t>Jefferson City</t>
  </si>
  <si>
    <t xml:space="preserve"> Joplin Family YMCA  </t>
  </si>
  <si>
    <t>Joplin</t>
  </si>
  <si>
    <t xml:space="preserve"> YMCA of Greater Kansas City  </t>
  </si>
  <si>
    <t>Kansas City</t>
  </si>
  <si>
    <t xml:space="preserve"> Salt Fork YMCA  </t>
  </si>
  <si>
    <t xml:space="preserve"> Freeman Southwest Family YMCA  </t>
  </si>
  <si>
    <t>Neosho</t>
  </si>
  <si>
    <t xml:space="preserve"> Twin Pike Family YMCA Inc.  </t>
  </si>
  <si>
    <t>Louisiana</t>
  </si>
  <si>
    <t xml:space="preserve"> Adair County Family YMCA  </t>
  </si>
  <si>
    <t>Kirksville</t>
  </si>
  <si>
    <t xml:space="preserve"> Mexico Area Family YMCA  </t>
  </si>
  <si>
    <t>Mexico</t>
  </si>
  <si>
    <t xml:space="preserve"> YMCA of St. Joseph Missouri  </t>
  </si>
  <si>
    <t>St Joseph</t>
  </si>
  <si>
    <t xml:space="preserve"> Callaway County YMCA  </t>
  </si>
  <si>
    <t>Fulton</t>
  </si>
  <si>
    <t xml:space="preserve"> Cameron Regional YMCA  </t>
  </si>
  <si>
    <t>Cameron</t>
  </si>
  <si>
    <t xml:space="preserve"> Fair Acres Family YMCA  </t>
  </si>
  <si>
    <t>Carthage</t>
  </si>
  <si>
    <t xml:space="preserve"> Greater St. Louis YMCA  </t>
  </si>
  <si>
    <t>St. Louis</t>
  </si>
  <si>
    <t xml:space="preserve"> Randolph Area YMCA  </t>
  </si>
  <si>
    <t>Moberly</t>
  </si>
  <si>
    <t xml:space="preserve"> Boonslick Heartland YMCA  </t>
  </si>
  <si>
    <t>Boonville</t>
  </si>
  <si>
    <t xml:space="preserve"> Osage Prairie YMCA Inc.  </t>
  </si>
  <si>
    <t>Nevada</t>
  </si>
  <si>
    <t xml:space="preserve"> Tri-County YMCA of the Ozarks  </t>
  </si>
  <si>
    <t>Osage Beach</t>
  </si>
  <si>
    <t xml:space="preserve"> Ozarks Regional YMCA  </t>
  </si>
  <si>
    <t xml:space="preserve"> Ozarks Family YMCA Inc.  </t>
  </si>
  <si>
    <t>Mountain Grove</t>
  </si>
  <si>
    <t xml:space="preserve"> YMCA of Billings  </t>
  </si>
  <si>
    <t>Billings</t>
  </si>
  <si>
    <t>MT</t>
  </si>
  <si>
    <t xml:space="preserve"> YMCA of Southeast Missouri  </t>
  </si>
  <si>
    <t>Sikeston</t>
  </si>
  <si>
    <t xml:space="preserve"> Southwestern Montana Family YMCA, Inc  </t>
  </si>
  <si>
    <t>Dillon</t>
  </si>
  <si>
    <t xml:space="preserve"> YMCA of Helena Inc.  </t>
  </si>
  <si>
    <t>Helena</t>
  </si>
  <si>
    <t xml:space="preserve"> Greater Missoula Family YMCA  </t>
  </si>
  <si>
    <t>Missoula</t>
  </si>
  <si>
    <t xml:space="preserve"> Gallatin Valley YMCA, Inc  </t>
  </si>
  <si>
    <t>Bozeman</t>
  </si>
  <si>
    <t xml:space="preserve"> Alliance Area Family YMCA  </t>
  </si>
  <si>
    <t>Alliance</t>
  </si>
  <si>
    <t xml:space="preserve"> Columbus Family YMCA Inc.  </t>
  </si>
  <si>
    <t xml:space="preserve"> YMCA of Fremont Nebraska  </t>
  </si>
  <si>
    <t>Fremont</t>
  </si>
  <si>
    <t xml:space="preserve"> Kearney Family YMCA  </t>
  </si>
  <si>
    <t>Kearney</t>
  </si>
  <si>
    <t xml:space="preserve"> YMCA of Grand Island Nebraska  </t>
  </si>
  <si>
    <t>Grand Island</t>
  </si>
  <si>
    <t xml:space="preserve"> YMCA of Hastings Nebraska  </t>
  </si>
  <si>
    <t xml:space="preserve"> YMCA of Lincoln Nebraska  </t>
  </si>
  <si>
    <t xml:space="preserve"> YMCA of the Prairie  </t>
  </si>
  <si>
    <t>Holdrege</t>
  </si>
  <si>
    <t xml:space="preserve"> Ed Thomas YMCA  </t>
  </si>
  <si>
    <t>McCook</t>
  </si>
  <si>
    <t xml:space="preserve"> YMCA of Norfolk Nebraska  </t>
  </si>
  <si>
    <t>Norfolk</t>
  </si>
  <si>
    <t xml:space="preserve"> Blair Family YMCA  </t>
  </si>
  <si>
    <t>Blair</t>
  </si>
  <si>
    <t xml:space="preserve"> YMCA of Greater Omaha  </t>
  </si>
  <si>
    <t>Omaha</t>
  </si>
  <si>
    <t xml:space="preserve"> Scottsbluff Family YMCA  </t>
  </si>
  <si>
    <t>Scottsbluff</t>
  </si>
  <si>
    <t xml:space="preserve"> YMCA of Southern Nevada  </t>
  </si>
  <si>
    <t>Las Vegas</t>
  </si>
  <si>
    <t>NV</t>
  </si>
  <si>
    <t xml:space="preserve"> YMCA of the Sierra  </t>
  </si>
  <si>
    <t>Reno</t>
  </si>
  <si>
    <t xml:space="preserve"> YMCA Camp Belknap Inc.  </t>
  </si>
  <si>
    <t>Wolfeboro</t>
  </si>
  <si>
    <t xml:space="preserve"> North Country YMCA Inc.  </t>
  </si>
  <si>
    <t xml:space="preserve"> Carroll County YMCA/Camp Huckins  </t>
  </si>
  <si>
    <t>Freedom</t>
  </si>
  <si>
    <t xml:space="preserve"> Cheshire YMCA  </t>
  </si>
  <si>
    <t>Swanzey</t>
  </si>
  <si>
    <t xml:space="preserve"> Concord Family YMCA  </t>
  </si>
  <si>
    <t>Concord</t>
  </si>
  <si>
    <t xml:space="preserve"> Keene Family YMCA  </t>
  </si>
  <si>
    <t>Keene</t>
  </si>
  <si>
    <t xml:space="preserve"> YMCA of Greater Manchester  </t>
  </si>
  <si>
    <t>Manchester</t>
  </si>
  <si>
    <t xml:space="preserve"> YMCA of Greater Nashua  </t>
  </si>
  <si>
    <t>Merrimack</t>
  </si>
  <si>
    <t xml:space="preserve"> Seacoast Family YMCA  </t>
  </si>
  <si>
    <t>Portsmouth</t>
  </si>
  <si>
    <t xml:space="preserve"> Southern District YMCA/Camp Lincoln Inc.  </t>
  </si>
  <si>
    <t>Kingston</t>
  </si>
  <si>
    <t xml:space="preserve"> Bayonne Family YMCA  </t>
  </si>
  <si>
    <t>Bayonne</t>
  </si>
  <si>
    <t>NJ</t>
  </si>
  <si>
    <t xml:space="preserve"> Burlington County YMCA  </t>
  </si>
  <si>
    <t>Mt Laurel</t>
  </si>
  <si>
    <t xml:space="preserve"> Camp Ralph S. Mason YMCA  </t>
  </si>
  <si>
    <t>Hardwick</t>
  </si>
  <si>
    <t xml:space="preserve"> YMCA of Eastern Union County  </t>
  </si>
  <si>
    <t>Elizabeth</t>
  </si>
  <si>
    <t xml:space="preserve"> YMCA of Fanwood - Scotch Plains  </t>
  </si>
  <si>
    <t>Scotch Plains</t>
  </si>
  <si>
    <t xml:space="preserve"> YMCA of Western Monmouth County  </t>
  </si>
  <si>
    <t>Freehold</t>
  </si>
  <si>
    <t xml:space="preserve"> Gloucester County YMCA  </t>
  </si>
  <si>
    <t>Woodbury</t>
  </si>
  <si>
    <t xml:space="preserve"> YMCA of Greater Bergen County  </t>
  </si>
  <si>
    <t>Hackensack</t>
  </si>
  <si>
    <t xml:space="preserve"> Meadowlands Area YMCA  </t>
  </si>
  <si>
    <t>North Arlington</t>
  </si>
  <si>
    <t xml:space="preserve"> Wyckoff Family YMCA Inc  </t>
  </si>
  <si>
    <t>Wyckoff</t>
  </si>
  <si>
    <t xml:space="preserve"> Hoboken-North Hudson YMCA  </t>
  </si>
  <si>
    <t>Hoboken</t>
  </si>
  <si>
    <t xml:space="preserve"> Hunterdon County YMCA  </t>
  </si>
  <si>
    <t>Annandale</t>
  </si>
  <si>
    <t xml:space="preserve"> Lakeland Hills Family YMCA  </t>
  </si>
  <si>
    <t>Mountain Lakes</t>
  </si>
  <si>
    <t xml:space="preserve"> YMCA of Madison NJ Inc.  </t>
  </si>
  <si>
    <t>Madison</t>
  </si>
  <si>
    <t xml:space="preserve"> Camp Ockanickon YMCA  </t>
  </si>
  <si>
    <t>Medford</t>
  </si>
  <si>
    <t xml:space="preserve"> Hamilton Area YMCA  </t>
  </si>
  <si>
    <t>Hamilton</t>
  </si>
  <si>
    <t xml:space="preserve"> Hopewell Valley YMCA  </t>
  </si>
  <si>
    <t>Pennington</t>
  </si>
  <si>
    <t xml:space="preserve"> Princeton Family YMCA  </t>
  </si>
  <si>
    <t>Princeton</t>
  </si>
  <si>
    <t xml:space="preserve"> South Brunswick Family YMCA  </t>
  </si>
  <si>
    <t>Monmouth Junction</t>
  </si>
  <si>
    <t xml:space="preserve"> YMCA of Metuchen  </t>
  </si>
  <si>
    <t>Metuchen</t>
  </si>
  <si>
    <t xml:space="preserve"> YMCA of Montclair  </t>
  </si>
  <si>
    <t>Montclair</t>
  </si>
  <si>
    <t xml:space="preserve"> Frost Valley YMCA  </t>
  </si>
  <si>
    <t>Claryville</t>
  </si>
  <si>
    <t>NY</t>
  </si>
  <si>
    <t xml:space="preserve"> West Morris Area YMCA  </t>
  </si>
  <si>
    <t>Randolph</t>
  </si>
  <si>
    <t xml:space="preserve"> Morris Center YMCA  </t>
  </si>
  <si>
    <t>Cedar Knolls</t>
  </si>
  <si>
    <t xml:space="preserve"> YM/WCA Newark &amp; Vicinity  </t>
  </si>
  <si>
    <t>Newark</t>
  </si>
  <si>
    <t xml:space="preserve"> Metropolitan YMCA of the Oranges  </t>
  </si>
  <si>
    <t>Livingston</t>
  </si>
  <si>
    <t xml:space="preserve"> YMCA of Passaic-Clifton  </t>
  </si>
  <si>
    <t>Passaic</t>
  </si>
  <si>
    <t xml:space="preserve"> YMCA of Paterson NJ  </t>
  </si>
  <si>
    <t>Paterson</t>
  </si>
  <si>
    <t xml:space="preserve"> Ocean County YMCA  </t>
  </si>
  <si>
    <t>Toms River</t>
  </si>
  <si>
    <t xml:space="preserve"> Raritan Bay Area YMCA  </t>
  </si>
  <si>
    <t>Perth Amboy</t>
  </si>
  <si>
    <t xml:space="preserve"> Plainfield Area YMCA  </t>
  </si>
  <si>
    <t>Plainfield</t>
  </si>
  <si>
    <t xml:space="preserve"> Raritan Valley YMCA  </t>
  </si>
  <si>
    <t>East Brunswick</t>
  </si>
  <si>
    <t xml:space="preserve"> The Community YMCA  </t>
  </si>
  <si>
    <t xml:space="preserve"> YMCA of Ridgewood  </t>
  </si>
  <si>
    <t>Ridgewood</t>
  </si>
  <si>
    <t xml:space="preserve"> Salem County YMCA  </t>
  </si>
  <si>
    <t>Carneys Point</t>
  </si>
  <si>
    <t xml:space="preserve"> Somerset Hills YMCA  </t>
  </si>
  <si>
    <t>Basking Ridge</t>
  </si>
  <si>
    <t xml:space="preserve"> Somerset Valley YMCA  </t>
  </si>
  <si>
    <t xml:space="preserve"> YMCA of Summit NJ  </t>
  </si>
  <si>
    <t>Summit</t>
  </si>
  <si>
    <t xml:space="preserve"> Trenton Area Family YMCA  </t>
  </si>
  <si>
    <t>Trenton</t>
  </si>
  <si>
    <t xml:space="preserve"> Cumberland Cape Atlantic YMCA  </t>
  </si>
  <si>
    <t>Vineland</t>
  </si>
  <si>
    <t xml:space="preserve"> YMCA of Westfield  </t>
  </si>
  <si>
    <t xml:space="preserve"> The YMCA of Central New Mexico  </t>
  </si>
  <si>
    <t>Albuquerque</t>
  </si>
  <si>
    <t>NM</t>
  </si>
  <si>
    <t xml:space="preserve"> The Family YMCA  </t>
  </si>
  <si>
    <t>Los Alamos</t>
  </si>
  <si>
    <t xml:space="preserve"> Amsterdam YMCA  </t>
  </si>
  <si>
    <t>Hagaman</t>
  </si>
  <si>
    <t xml:space="preserve"> Auburn YMCA-WEIU  </t>
  </si>
  <si>
    <t xml:space="preserve"> Genesee Area Family YMCA  </t>
  </si>
  <si>
    <t>Batavia</t>
  </si>
  <si>
    <t xml:space="preserve"> Broome County YMCA  </t>
  </si>
  <si>
    <t>Binghamton</t>
  </si>
  <si>
    <t xml:space="preserve"> YMCA Buffalo Niagara  </t>
  </si>
  <si>
    <t>Buffalo</t>
  </si>
  <si>
    <t xml:space="preserve"> Camp Dudley YMCA Inc.  </t>
  </si>
  <si>
    <t xml:space="preserve"> Greater Canandaigua Family YMCA  </t>
  </si>
  <si>
    <t>Canandaigua</t>
  </si>
  <si>
    <t xml:space="preserve"> Clifton Springs YMCA  </t>
  </si>
  <si>
    <t>Clifton Springs</t>
  </si>
  <si>
    <t xml:space="preserve"> Cortland County Family YMCA  </t>
  </si>
  <si>
    <t>Cortland</t>
  </si>
  <si>
    <t xml:space="preserve"> Corning Community YMCA  </t>
  </si>
  <si>
    <t>Corning</t>
  </si>
  <si>
    <t xml:space="preserve"> Mohawk Valley YMCA  </t>
  </si>
  <si>
    <t>Mohawk</t>
  </si>
  <si>
    <t xml:space="preserve"> Chemung County YMCA  </t>
  </si>
  <si>
    <t>Elmira</t>
  </si>
  <si>
    <t xml:space="preserve"> Fulton YMCA  </t>
  </si>
  <si>
    <t xml:space="preserve"> Geneva Family YMCA  </t>
  </si>
  <si>
    <t>Geneva</t>
  </si>
  <si>
    <t xml:space="preserve"> Family YMCA of Glens Falls Area  </t>
  </si>
  <si>
    <t>Glens Falls</t>
  </si>
  <si>
    <t xml:space="preserve"> Silver Bay YMCA of the Adirondacks  </t>
  </si>
  <si>
    <t>Silver Bay</t>
  </si>
  <si>
    <t xml:space="preserve"> Hornell Area Family YMCA  </t>
  </si>
  <si>
    <t>Hornell</t>
  </si>
  <si>
    <t xml:space="preserve"> Ithaca &amp; Tompkins County YMCA  </t>
  </si>
  <si>
    <t>Ithaca</t>
  </si>
  <si>
    <t xml:space="preserve"> Jamestown YMCA  </t>
  </si>
  <si>
    <t>Jamestown</t>
  </si>
  <si>
    <t xml:space="preserve"> YMCA of Kingston and Ulster County  </t>
  </si>
  <si>
    <t xml:space="preserve"> Little Falls YMCA  </t>
  </si>
  <si>
    <t>Little Falls</t>
  </si>
  <si>
    <t xml:space="preserve"> Lockport Family YMCA  </t>
  </si>
  <si>
    <t>Lockport</t>
  </si>
  <si>
    <t xml:space="preserve"> Lake Plains Family YMCA  </t>
  </si>
  <si>
    <t>Medina</t>
  </si>
  <si>
    <t xml:space="preserve"> YMCA of Middletown NY  </t>
  </si>
  <si>
    <t xml:space="preserve"> YMCA of Long Island  </t>
  </si>
  <si>
    <t>Glen Cove</t>
  </si>
  <si>
    <t xml:space="preserve"> YMCA of Newburgh  </t>
  </si>
  <si>
    <t>Newburgh</t>
  </si>
  <si>
    <t xml:space="preserve"> New Rochelle YMCA  </t>
  </si>
  <si>
    <t>New Rochelle</t>
  </si>
  <si>
    <t xml:space="preserve"> YMCA of Greater New York  </t>
  </si>
  <si>
    <t>New York</t>
  </si>
  <si>
    <t xml:space="preserve"> Norwich YMCA  </t>
  </si>
  <si>
    <t xml:space="preserve"> Olean-Bradford Area YMCA  </t>
  </si>
  <si>
    <t>Olean</t>
  </si>
  <si>
    <t xml:space="preserve"> Oneonta Family YMCA  </t>
  </si>
  <si>
    <t>Oneonta</t>
  </si>
  <si>
    <t xml:space="preserve"> Oswego YMCA  </t>
  </si>
  <si>
    <t>Oswego</t>
  </si>
  <si>
    <t xml:space="preserve"> Plattsburgh YMCA  </t>
  </si>
  <si>
    <t>Plattsburgh</t>
  </si>
  <si>
    <t xml:space="preserve"> Dutchess County YMCA  </t>
  </si>
  <si>
    <t>Poughkeepsie</t>
  </si>
  <si>
    <t xml:space="preserve"> YMCA of Greater Rochester  </t>
  </si>
  <si>
    <t xml:space="preserve"> Rockland County YMCA  </t>
  </si>
  <si>
    <t>Nyack</t>
  </si>
  <si>
    <t xml:space="preserve"> YMCA of the Greater Tri-Valley  </t>
  </si>
  <si>
    <t xml:space="preserve"> YMCA of Rye NY  </t>
  </si>
  <si>
    <t>Rye</t>
  </si>
  <si>
    <t xml:space="preserve"> YMCA of Saratoga Springs  </t>
  </si>
  <si>
    <t>Saratoga Springs</t>
  </si>
  <si>
    <t xml:space="preserve"> YMCA of Capital District  </t>
  </si>
  <si>
    <t xml:space="preserve"> Greater Syracuse YMCA  </t>
  </si>
  <si>
    <t>Syracuse</t>
  </si>
  <si>
    <t xml:space="preserve"> Fulton County YMCA  </t>
  </si>
  <si>
    <t>Gloversville</t>
  </si>
  <si>
    <t xml:space="preserve"> Watertown Family YMCA  </t>
  </si>
  <si>
    <t>Watertown</t>
  </si>
  <si>
    <t xml:space="preserve"> Camp Sloane YMCA Inc.  </t>
  </si>
  <si>
    <t>Lakeville</t>
  </si>
  <si>
    <t xml:space="preserve"> YMCA of Central &amp; Northern Westchester Inc.  </t>
  </si>
  <si>
    <t>White Plains</t>
  </si>
  <si>
    <t xml:space="preserve"> YMCA of Yonkers Inc.  </t>
  </si>
  <si>
    <t>Yonkers</t>
  </si>
  <si>
    <t xml:space="preserve"> YMCA of Asheboro NC Inc.  </t>
  </si>
  <si>
    <t>Asheboro</t>
  </si>
  <si>
    <t>NC</t>
  </si>
  <si>
    <t xml:space="preserve"> Blue Ridge Assembly YMCA  </t>
  </si>
  <si>
    <t>Black Mountain</t>
  </si>
  <si>
    <t xml:space="preserve"> Stanly County Family YMCA  </t>
  </si>
  <si>
    <t>Albemarle</t>
  </si>
  <si>
    <t xml:space="preserve"> YMCA of Western North Carolina Inc.  </t>
  </si>
  <si>
    <t>Asheville</t>
  </si>
  <si>
    <t xml:space="preserve"> Alamance County Community YMCA  </t>
  </si>
  <si>
    <t xml:space="preserve"> Chapel Hill-Carrboro YMCA  </t>
  </si>
  <si>
    <t>Chapel Hill</t>
  </si>
  <si>
    <t xml:space="preserve"> YMCA of Greater Charlotte  </t>
  </si>
  <si>
    <t>Charlotte</t>
  </si>
  <si>
    <t xml:space="preserve"> Cleveland County Family YMCA  </t>
  </si>
  <si>
    <t>Shelby</t>
  </si>
  <si>
    <t xml:space="preserve"> Fayetteville YMCA  </t>
  </si>
  <si>
    <t>Fayetteville</t>
  </si>
  <si>
    <t xml:space="preserve"> Gaston County Family YMCA  </t>
  </si>
  <si>
    <t>Gastonia</t>
  </si>
  <si>
    <t xml:space="preserve"> Goldsboro Family YMCA  </t>
  </si>
  <si>
    <t>Goldsboro</t>
  </si>
  <si>
    <t xml:space="preserve"> Greensboro Metropolitan YMCA  </t>
  </si>
  <si>
    <t>Greensboro</t>
  </si>
  <si>
    <t xml:space="preserve"> Wilson Family YMCA  </t>
  </si>
  <si>
    <t>Wilson</t>
  </si>
  <si>
    <t xml:space="preserve"> Henderson County YMCA  </t>
  </si>
  <si>
    <t>Hendersonville</t>
  </si>
  <si>
    <t xml:space="preserve"> Henderson Family YMCA  </t>
  </si>
  <si>
    <t xml:space="preserve"> YMCA of High Point Inc.  </t>
  </si>
  <si>
    <t>High Point</t>
  </si>
  <si>
    <t xml:space="preserve"> Cannon Memorial YMCA  </t>
  </si>
  <si>
    <t>Kannapolis</t>
  </si>
  <si>
    <t xml:space="preserve"> YMCA of Catawba Valley  </t>
  </si>
  <si>
    <t>Hickory</t>
  </si>
  <si>
    <t xml:space="preserve"> Eden Family YMCA  </t>
  </si>
  <si>
    <t>Eden</t>
  </si>
  <si>
    <t xml:space="preserve"> J. Smith Young Family YMCA  </t>
  </si>
  <si>
    <t xml:space="preserve"> YMCA of the Triangle Area  </t>
  </si>
  <si>
    <t>Raleigh</t>
  </si>
  <si>
    <t xml:space="preserve"> Twin Rivers YMCA  </t>
  </si>
  <si>
    <t>New Bern</t>
  </si>
  <si>
    <t xml:space="preserve"> Garner Road YMCA  </t>
  </si>
  <si>
    <t xml:space="preserve"> Rocky Mount Family YMCA Inc.  </t>
  </si>
  <si>
    <t>Rocky Mount</t>
  </si>
  <si>
    <t xml:space="preserve"> YMCA of Rowan County  </t>
  </si>
  <si>
    <t xml:space="preserve"> YMCA of Iredell County Inc.  </t>
  </si>
  <si>
    <t>Statesville</t>
  </si>
  <si>
    <t xml:space="preserve"> Tom A. Finch Community YMCA  </t>
  </si>
  <si>
    <t xml:space="preserve"> YMCA of Wilmington Inc.  </t>
  </si>
  <si>
    <t xml:space="preserve"> YMCA of Northwest North Carolina  </t>
  </si>
  <si>
    <t>Winston Salem</t>
  </si>
  <si>
    <t xml:space="preserve"> Bertie County YMCA  </t>
  </si>
  <si>
    <t>Windsor</t>
  </si>
  <si>
    <t xml:space="preserve"> Missouri Valley Family YMCA  </t>
  </si>
  <si>
    <t>Bismarck</t>
  </si>
  <si>
    <t>ND</t>
  </si>
  <si>
    <t xml:space="preserve"> YMCA of Avery County  </t>
  </si>
  <si>
    <t>Linville</t>
  </si>
  <si>
    <t xml:space="preserve"> YMCA of Cass and Clay Counties  </t>
  </si>
  <si>
    <t>Fargo</t>
  </si>
  <si>
    <t xml:space="preserve"> YMCA of North Dakota State University  </t>
  </si>
  <si>
    <t xml:space="preserve"> Grand Forks YMCA Family Center  </t>
  </si>
  <si>
    <t>Grand Forks</t>
  </si>
  <si>
    <t xml:space="preserve"> James River Family YMCA  </t>
  </si>
  <si>
    <t xml:space="preserve"> YMCA of Minot North Dakota  </t>
  </si>
  <si>
    <t>Minot</t>
  </si>
  <si>
    <t xml:space="preserve"> YMCA of Akron Ohio Inc.  </t>
  </si>
  <si>
    <t>Akron</t>
  </si>
  <si>
    <t>OH</t>
  </si>
  <si>
    <t xml:space="preserve"> Pike County YMCA  </t>
  </si>
  <si>
    <t>Waverly</t>
  </si>
  <si>
    <t xml:space="preserve"> Alliance YMCA  </t>
  </si>
  <si>
    <t xml:space="preserve"> YMCA of Ashland Ohio  </t>
  </si>
  <si>
    <t xml:space="preserve"> YMCA-WCA of Ashtabula County Ohio  </t>
  </si>
  <si>
    <t>Ashtabula</t>
  </si>
  <si>
    <t xml:space="preserve"> YMCA of Bucyrus Ohio  </t>
  </si>
  <si>
    <t>Bucyrus</t>
  </si>
  <si>
    <t xml:space="preserve"> Cambridge Area YMCA  </t>
  </si>
  <si>
    <t xml:space="preserve"> YMCA of Central Stark County  </t>
  </si>
  <si>
    <t xml:space="preserve"> Auglaize-Mercer Counties Family YMCA  </t>
  </si>
  <si>
    <t>Celina</t>
  </si>
  <si>
    <t xml:space="preserve"> YMCA of Ross County  </t>
  </si>
  <si>
    <t xml:space="preserve"> Don M and Margaret Hilliker YMCA  </t>
  </si>
  <si>
    <t>Bellefontaine</t>
  </si>
  <si>
    <t xml:space="preserve"> YMCA of Greater Cincinnati  </t>
  </si>
  <si>
    <t>Cincinnati</t>
  </si>
  <si>
    <t xml:space="preserve"> YMCA of Greater Cleveland  </t>
  </si>
  <si>
    <t>Cleveland</t>
  </si>
  <si>
    <t xml:space="preserve"> YMCA of Central Ohio  </t>
  </si>
  <si>
    <t xml:space="preserve"> YMCA of Greater Dayton  </t>
  </si>
  <si>
    <t>Dayton</t>
  </si>
  <si>
    <t xml:space="preserve"> Williams County Family YMCA  </t>
  </si>
  <si>
    <t>Bryan</t>
  </si>
  <si>
    <t xml:space="preserve"> Highland County Family YMCA  </t>
  </si>
  <si>
    <t>Hillsboro</t>
  </si>
  <si>
    <t>Washington CH</t>
  </si>
  <si>
    <t xml:space="preserve"> Clinton County Community Family YMCA  </t>
  </si>
  <si>
    <t xml:space="preserve"> Ralph J. Stolle Countryside YMCA of Warren C  </t>
  </si>
  <si>
    <t xml:space="preserve"> Defiance Area YMCA  </t>
  </si>
  <si>
    <t>Defiance</t>
  </si>
  <si>
    <t xml:space="preserve"> Putnam County YMCA  </t>
  </si>
  <si>
    <t xml:space="preserve"> YMCA of East Liverpool Ohio  </t>
  </si>
  <si>
    <t>East Liverpool</t>
  </si>
  <si>
    <t xml:space="preserve"> YMCA of Findlay Ohio  </t>
  </si>
  <si>
    <t>Findlay</t>
  </si>
  <si>
    <t xml:space="preserve"> Geary Family YMCA of Fostoria Ohio Inc.  </t>
  </si>
  <si>
    <t>Fostoria</t>
  </si>
  <si>
    <t xml:space="preserve"> YMCA of Darke County Inc.  </t>
  </si>
  <si>
    <t xml:space="preserve"> Great Miami Valley YMCA  </t>
  </si>
  <si>
    <t xml:space="preserve"> Lake County YMCA  </t>
  </si>
  <si>
    <t>Painesville</t>
  </si>
  <si>
    <t xml:space="preserve"> YMCA of the Jackson Area  </t>
  </si>
  <si>
    <t xml:space="preserve"> Family YMCA of Lancaster &amp; Fairfield County  </t>
  </si>
  <si>
    <t>Lancaster</t>
  </si>
  <si>
    <t xml:space="preserve"> Hardin County Family YMCA  </t>
  </si>
  <si>
    <t>Kenton</t>
  </si>
  <si>
    <t xml:space="preserve"> YMCA of Lima Ohio  </t>
  </si>
  <si>
    <t>Lima</t>
  </si>
  <si>
    <t xml:space="preserve"> YMCA of Mansfield Ohio  </t>
  </si>
  <si>
    <t>Mansfield</t>
  </si>
  <si>
    <t xml:space="preserve"> Galion Community Center YMCA Inc.  </t>
  </si>
  <si>
    <t>Galion</t>
  </si>
  <si>
    <t xml:space="preserve"> YMCA of Marietta  </t>
  </si>
  <si>
    <t>Marietta</t>
  </si>
  <si>
    <t xml:space="preserve"> Marion Family YMCA  </t>
  </si>
  <si>
    <t xml:space="preserve"> Union County Family YMCA  </t>
  </si>
  <si>
    <t>Marysville</t>
  </si>
  <si>
    <t xml:space="preserve"> YMCA of Western Stark County  </t>
  </si>
  <si>
    <t>Massillon</t>
  </si>
  <si>
    <t xml:space="preserve"> YMCA of Mount Vernon Ohio  </t>
  </si>
  <si>
    <t>Mount Vernon</t>
  </si>
  <si>
    <t xml:space="preserve"> The Licking County Family YMCA  </t>
  </si>
  <si>
    <t xml:space="preserve"> Miami County YMCA at Piqua Ohio  </t>
  </si>
  <si>
    <t>Piqua</t>
  </si>
  <si>
    <t xml:space="preserve"> YMCA of Sandusky Ohio Inc.  </t>
  </si>
  <si>
    <t>Sandusky</t>
  </si>
  <si>
    <t xml:space="preserve"> YMCA of Sandusky County  </t>
  </si>
  <si>
    <t xml:space="preserve"> Shelby YMCA Community Center  </t>
  </si>
  <si>
    <t xml:space="preserve"> YMCA of Sidney and Shelby County Ohio  </t>
  </si>
  <si>
    <t>Sidney</t>
  </si>
  <si>
    <t xml:space="preserve"> Springfield Family YMCA  </t>
  </si>
  <si>
    <t xml:space="preserve"> Champaign Family YMCA  </t>
  </si>
  <si>
    <t>Urbana</t>
  </si>
  <si>
    <t xml:space="preserve"> Tecumseh YMCA Family Center  </t>
  </si>
  <si>
    <t>New Carlisle</t>
  </si>
  <si>
    <t xml:space="preserve"> Tiffin Community YMCA Recreation Center Inc.  </t>
  </si>
  <si>
    <t>Tiffin</t>
  </si>
  <si>
    <t xml:space="preserve"> YMCA of Greater Toledo  </t>
  </si>
  <si>
    <t>Toledo</t>
  </si>
  <si>
    <t xml:space="preserve"> Tuscarawas County YMCA Inc.  </t>
  </si>
  <si>
    <t>Dover</t>
  </si>
  <si>
    <t xml:space="preserve"> YMCA of Van Wert County Ohio  </t>
  </si>
  <si>
    <t>Van Wert</t>
  </si>
  <si>
    <t xml:space="preserve"> Vermilion Family YMCA  </t>
  </si>
  <si>
    <t>Vermillion</t>
  </si>
  <si>
    <t xml:space="preserve"> Lakota Family YMCA  </t>
  </si>
  <si>
    <t>West Chester</t>
  </si>
  <si>
    <t xml:space="preserve"> YMCA of Wooster Ohio  </t>
  </si>
  <si>
    <t>Wooster</t>
  </si>
  <si>
    <t xml:space="preserve"> YMCA of Orrville Ohio  </t>
  </si>
  <si>
    <t>Orrville</t>
  </si>
  <si>
    <t xml:space="preserve"> YMCA of Youngstown Ohio  </t>
  </si>
  <si>
    <t>Youngstown</t>
  </si>
  <si>
    <t xml:space="preserve"> Wapakoneta Family YMCA  </t>
  </si>
  <si>
    <t>Wapakoneta</t>
  </si>
  <si>
    <t xml:space="preserve"> Muskingum Family YMCA  </t>
  </si>
  <si>
    <t>Zanesville</t>
  </si>
  <si>
    <t xml:space="preserve"> Ardmore Family YMCA at Ardmore Oklahoma  </t>
  </si>
  <si>
    <t>Ardmore</t>
  </si>
  <si>
    <t>OK</t>
  </si>
  <si>
    <t xml:space="preserve"> Family YMCA of Bartlesville  </t>
  </si>
  <si>
    <t>Bartlesville</t>
  </si>
  <si>
    <t xml:space="preserve"> The Denny Price Family YMCA of Enid, Oklaho  </t>
  </si>
  <si>
    <t>Enid</t>
  </si>
  <si>
    <t xml:space="preserve"> Texas County Family YMCA  </t>
  </si>
  <si>
    <t>Guymon</t>
  </si>
  <si>
    <t xml:space="preserve"> YMCA of Lawton Oklahoma  </t>
  </si>
  <si>
    <t>Lawton</t>
  </si>
  <si>
    <t xml:space="preserve"> Daily Family YMCA of Bixby  </t>
  </si>
  <si>
    <t>Bixby</t>
  </si>
  <si>
    <t>Norman</t>
  </si>
  <si>
    <t xml:space="preserve"> YMCA of Greater Oklahoma City  </t>
  </si>
  <si>
    <t>Oklahama City</t>
  </si>
  <si>
    <t xml:space="preserve"> Okmulgee County Family YMCA  </t>
  </si>
  <si>
    <t>Okmulgee</t>
  </si>
  <si>
    <t xml:space="preserve"> YMCA of Ponca City Oklahoma  </t>
  </si>
  <si>
    <t>Ponca City</t>
  </si>
  <si>
    <t xml:space="preserve"> Noble County Family YMCA  </t>
  </si>
  <si>
    <t>Perry</t>
  </si>
  <si>
    <t xml:space="preserve"> Shawnee Family YMCA  </t>
  </si>
  <si>
    <t>Shawnee</t>
  </si>
  <si>
    <t xml:space="preserve"> Stillwater Family YMCA  </t>
  </si>
  <si>
    <t>Stillwater</t>
  </si>
  <si>
    <t xml:space="preserve"> YMCA of Greater Tulsa - Metro Office  </t>
  </si>
  <si>
    <t>Tulsa</t>
  </si>
  <si>
    <t xml:space="preserve"> Great Plains Family YMCA Inc.  </t>
  </si>
  <si>
    <t>Weatherford</t>
  </si>
  <si>
    <t xml:space="preserve"> YMCA of Ashland  </t>
  </si>
  <si>
    <t>OR</t>
  </si>
  <si>
    <t xml:space="preserve"> Family YMCA of Baker County  </t>
  </si>
  <si>
    <t>Baker City</t>
  </si>
  <si>
    <t xml:space="preserve"> Eugene Family YMCA  </t>
  </si>
  <si>
    <t>Eugene</t>
  </si>
  <si>
    <t xml:space="preserve"> YMCA of Grants Pass Oregon  </t>
  </si>
  <si>
    <t>Grants Pass</t>
  </si>
  <si>
    <t xml:space="preserve"> YMCA of Klamath County Oregon  </t>
  </si>
  <si>
    <t>Klamath Falls</t>
  </si>
  <si>
    <t xml:space="preserve"> YMCA of Medford  </t>
  </si>
  <si>
    <t xml:space="preserve"> Mid-Willamette Family YMCA  </t>
  </si>
  <si>
    <t xml:space="preserve"> YMCA of Columbia-Willamette Association Ser  </t>
  </si>
  <si>
    <t xml:space="preserve"> Central Douglas County Family YMCA  </t>
  </si>
  <si>
    <t>Roseburg</t>
  </si>
  <si>
    <t xml:space="preserve"> Family YMCA of Marion and Polk Counties  </t>
  </si>
  <si>
    <t xml:space="preserve"> Tillamook County Family YMCA  </t>
  </si>
  <si>
    <t>Tillamook</t>
  </si>
  <si>
    <t xml:space="preserve"> Central Bucks Family YMCA  </t>
  </si>
  <si>
    <t>Doylestown</t>
  </si>
  <si>
    <t>PA</t>
  </si>
  <si>
    <t xml:space="preserve"> Garver Memorial YMCA  </t>
  </si>
  <si>
    <t>Roaring Spring</t>
  </si>
  <si>
    <t xml:space="preserve"> Allentown YMCA  </t>
  </si>
  <si>
    <t>Allentown</t>
  </si>
  <si>
    <t xml:space="preserve"> Suburban North Family YMCA  </t>
  </si>
  <si>
    <t>Catasauqua</t>
  </si>
  <si>
    <t xml:space="preserve"> Bellefonte Family YMCA  </t>
  </si>
  <si>
    <t>Bellefonte</t>
  </si>
  <si>
    <t xml:space="preserve"> Berwick Area YMCA  </t>
  </si>
  <si>
    <t>Berwick</t>
  </si>
  <si>
    <t xml:space="preserve"> Bethlehem YMCA  </t>
  </si>
  <si>
    <t>Bethlehem</t>
  </si>
  <si>
    <t xml:space="preserve"> Brookville YMCA  </t>
  </si>
  <si>
    <t>Brookville</t>
  </si>
  <si>
    <t xml:space="preserve"> Juniata Valley YMCA  </t>
  </si>
  <si>
    <t>Burnham</t>
  </si>
  <si>
    <t xml:space="preserve"> Butler County Family YMCA  </t>
  </si>
  <si>
    <t>Butler</t>
  </si>
  <si>
    <t xml:space="preserve"> Carbondale YMCA  </t>
  </si>
  <si>
    <t>Carbondale</t>
  </si>
  <si>
    <t xml:space="preserve"> Wayne County YMCA  </t>
  </si>
  <si>
    <t>Honesdale</t>
  </si>
  <si>
    <t xml:space="preserve"> Carlisle Family YMCA  </t>
  </si>
  <si>
    <t>Carlisle</t>
  </si>
  <si>
    <t xml:space="preserve"> Chambersburg Memorial YMCA  </t>
  </si>
  <si>
    <t>Chambersburg</t>
  </si>
  <si>
    <t xml:space="preserve"> Clearfield YMCA  </t>
  </si>
  <si>
    <t>Clearfield</t>
  </si>
  <si>
    <t xml:space="preserve"> Moshannon Valley YMCA  </t>
  </si>
  <si>
    <t>Phillipsburg</t>
  </si>
  <si>
    <t xml:space="preserve"> YMCA of the Brandywine Valley  </t>
  </si>
  <si>
    <t>Coatesville</t>
  </si>
  <si>
    <t xml:space="preserve"> YMCA of Corry  </t>
  </si>
  <si>
    <t>Corry</t>
  </si>
  <si>
    <t xml:space="preserve"> DuBois Area YMCA  </t>
  </si>
  <si>
    <t>Dubois</t>
  </si>
  <si>
    <t xml:space="preserve"> Easton Phillipsburg &amp; Vicinity YMCA  </t>
  </si>
  <si>
    <t xml:space="preserve"> YMCA of Greater Erie  </t>
  </si>
  <si>
    <t>Erie</t>
  </si>
  <si>
    <t xml:space="preserve"> Franklin/Grove City YMCA  </t>
  </si>
  <si>
    <t>Franklin</t>
  </si>
  <si>
    <t xml:space="preserve"> Freeland YMCA  </t>
  </si>
  <si>
    <t>Freeland</t>
  </si>
  <si>
    <t xml:space="preserve"> Germantown YMCA  </t>
  </si>
  <si>
    <t>Philadelphia</t>
  </si>
  <si>
    <t xml:space="preserve"> Greensburg YMCA  </t>
  </si>
  <si>
    <t xml:space="preserve"> Harrisburg Area Metropolitan YMCA  </t>
  </si>
  <si>
    <t>Harrisburg</t>
  </si>
  <si>
    <t xml:space="preserve"> Hazleton YMCA  </t>
  </si>
  <si>
    <t>Hazelton</t>
  </si>
  <si>
    <t xml:space="preserve"> Bloomsburg Area YMCA  </t>
  </si>
  <si>
    <t>Bloomsburg</t>
  </si>
  <si>
    <t xml:space="preserve"> Hollidaysburg Area YMCA  </t>
  </si>
  <si>
    <t>Hollidaysburg</t>
  </si>
  <si>
    <t xml:space="preserve"> Indiana County YMCA  </t>
  </si>
  <si>
    <t>Indiana</t>
  </si>
  <si>
    <t xml:space="preserve"> Greater Johnstown Community YMCA  </t>
  </si>
  <si>
    <t>Johnstown</t>
  </si>
  <si>
    <t xml:space="preserve"> Lancaster Family YMCA  </t>
  </si>
  <si>
    <t xml:space="preserve"> Lebanon Valley Family YMCA  </t>
  </si>
  <si>
    <t xml:space="preserve"> Lock Haven Area YMCA  </t>
  </si>
  <si>
    <t>Lock Haven</t>
  </si>
  <si>
    <t xml:space="preserve"> Ligonier Valley YMCA  </t>
  </si>
  <si>
    <t>Ligonier</t>
  </si>
  <si>
    <t xml:space="preserve"> Lower Bucks Family YMCA  </t>
  </si>
  <si>
    <t>Fairless Hills</t>
  </si>
  <si>
    <t xml:space="preserve"> YMCA of McKeesport  </t>
  </si>
  <si>
    <t>Mc Keesport</t>
  </si>
  <si>
    <t xml:space="preserve"> Meadville YMCA  </t>
  </si>
  <si>
    <t>Meadville</t>
  </si>
  <si>
    <t xml:space="preserve"> Mon Valley YMCA  </t>
  </si>
  <si>
    <t>Charleroi</t>
  </si>
  <si>
    <t xml:space="preserve"> Nazareth YMCA  </t>
  </si>
  <si>
    <t>Nazareth</t>
  </si>
  <si>
    <t xml:space="preserve"> Beaver County YMCA  </t>
  </si>
  <si>
    <t>New Brighton</t>
  </si>
  <si>
    <t xml:space="preserve"> New Castle Community YMCA  </t>
  </si>
  <si>
    <t xml:space="preserve"> North Penn YMCA  </t>
  </si>
  <si>
    <t>Colmar</t>
  </si>
  <si>
    <t xml:space="preserve"> Oil City Area YMCA  </t>
  </si>
  <si>
    <t>Oil City</t>
  </si>
  <si>
    <t xml:space="preserve"> YMCA of Philadelphia and Vicinity  </t>
  </si>
  <si>
    <t xml:space="preserve"> Community YMCA of Eastern Delaware County  </t>
  </si>
  <si>
    <t>Lansdowne</t>
  </si>
  <si>
    <t xml:space="preserve"> Freedom Valley YMCA  </t>
  </si>
  <si>
    <t>West Norriton</t>
  </si>
  <si>
    <t xml:space="preserve"> YMCA of Greater Pittsburgh  </t>
  </si>
  <si>
    <t>Pittsburgh</t>
  </si>
  <si>
    <t xml:space="preserve"> Greater Pittston YMCA  </t>
  </si>
  <si>
    <t>Pittston</t>
  </si>
  <si>
    <t xml:space="preserve"> Upper Bucks County YMCA  </t>
  </si>
  <si>
    <t>Quakertown</t>
  </si>
  <si>
    <t xml:space="preserve"> Reading &amp; Berks Metro YMCA  </t>
  </si>
  <si>
    <t xml:space="preserve"> Boyertown Area YMCA  </t>
  </si>
  <si>
    <t>Boyertown</t>
  </si>
  <si>
    <t xml:space="preserve"> Ridgway YMCA  </t>
  </si>
  <si>
    <t>Ridgeway</t>
  </si>
  <si>
    <t xml:space="preserve"> Regional Family YMCA of Laurel Highlands  </t>
  </si>
  <si>
    <t>Mount Pleasant</t>
  </si>
  <si>
    <t xml:space="preserve"> YMCA of the City of Scranton  </t>
  </si>
  <si>
    <t>Dunmore</t>
  </si>
  <si>
    <t xml:space="preserve"> Schuylkill YMCA  </t>
  </si>
  <si>
    <t>Pottsville</t>
  </si>
  <si>
    <t xml:space="preserve"> Sewickley Valley YMCA  </t>
  </si>
  <si>
    <t>Sewickley</t>
  </si>
  <si>
    <t xml:space="preserve"> Shenango Valley YMCA  </t>
  </si>
  <si>
    <t>Hermitage</t>
  </si>
  <si>
    <t xml:space="preserve"> State College Area Family YMCA  </t>
  </si>
  <si>
    <t>State College</t>
  </si>
  <si>
    <t xml:space="preserve"> Pocono Family YMCA  </t>
  </si>
  <si>
    <t>Stroudsburg</t>
  </si>
  <si>
    <t xml:space="preserve"> Greater Susquehanna Valley YMCA  </t>
  </si>
  <si>
    <t>Sunbury</t>
  </si>
  <si>
    <t xml:space="preserve"> Allegheny Valley YMCA  </t>
  </si>
  <si>
    <t>Natrona Heights</t>
  </si>
  <si>
    <t xml:space="preserve"> State YMCA of Pennsylvania, Inc.  </t>
  </si>
  <si>
    <t xml:space="preserve"> Titusville YMCA  </t>
  </si>
  <si>
    <t>Titusville</t>
  </si>
  <si>
    <t xml:space="preserve"> Uniontown Area YMCA  </t>
  </si>
  <si>
    <t>Uniontown</t>
  </si>
  <si>
    <t xml:space="preserve"> YMCA of the Upper Main Line  </t>
  </si>
  <si>
    <t xml:space="preserve"> Waynesboro Area YMCA  </t>
  </si>
  <si>
    <t>Waynesboro</t>
  </si>
  <si>
    <t xml:space="preserve"> South Mountain YMCA  </t>
  </si>
  <si>
    <t>Wernersville</t>
  </si>
  <si>
    <t xml:space="preserve"> Wilkes-Barre Family YMCA  </t>
  </si>
  <si>
    <t>Wilkes Barre</t>
  </si>
  <si>
    <t xml:space="preserve"> River Valley Regional YMCA  </t>
  </si>
  <si>
    <t>Williamsport</t>
  </si>
  <si>
    <t xml:space="preserve"> York &amp; York County YMCA  </t>
  </si>
  <si>
    <t>York</t>
  </si>
  <si>
    <t xml:space="preserve"> Hanover Area YMCA  </t>
  </si>
  <si>
    <t>Hanover</t>
  </si>
  <si>
    <t xml:space="preserve"> Valley Points Family YMCA  </t>
  </si>
  <si>
    <t>New Kensington</t>
  </si>
  <si>
    <t xml:space="preserve"> Ponce YMCA  </t>
  </si>
  <si>
    <t>Ponce</t>
  </si>
  <si>
    <t>PR</t>
  </si>
  <si>
    <t xml:space="preserve"> San Juan - Puerto Rico YMCA  </t>
  </si>
  <si>
    <t>San Juan</t>
  </si>
  <si>
    <t xml:space="preserve"> YMCA Camp Tecumseh Inc.  </t>
  </si>
  <si>
    <t>Brookston</t>
  </si>
  <si>
    <t xml:space="preserve"> Newport County YMCA  </t>
  </si>
  <si>
    <t>RI</t>
  </si>
  <si>
    <t xml:space="preserve"> Pawtucket &amp; Central Falls Metro Bd. YMCA  </t>
  </si>
  <si>
    <t>Pawtucket</t>
  </si>
  <si>
    <t xml:space="preserve"> Providence Metropolitan YMCA  </t>
  </si>
  <si>
    <t>Providence</t>
  </si>
  <si>
    <t xml:space="preserve"> Smithfield YMCA  </t>
  </si>
  <si>
    <t xml:space="preserve"> Ocean Community YMCA  </t>
  </si>
  <si>
    <t>Westerly</t>
  </si>
  <si>
    <t xml:space="preserve"> Woonsocket YMCA  </t>
  </si>
  <si>
    <t>Woonsocket</t>
  </si>
  <si>
    <t xml:space="preserve"> Anderson Area YMCA  </t>
  </si>
  <si>
    <t>SC</t>
  </si>
  <si>
    <t xml:space="preserve"> Beaufort County YMCA  </t>
  </si>
  <si>
    <t>Port Royal</t>
  </si>
  <si>
    <t xml:space="preserve"> Newberry County Family YMCA  </t>
  </si>
  <si>
    <t>Newberry</t>
  </si>
  <si>
    <t xml:space="preserve"> YMCA of Coastal Carolina  </t>
  </si>
  <si>
    <t>Myrtle Beach</t>
  </si>
  <si>
    <t xml:space="preserve"> Cannon Street YMCA  </t>
  </si>
  <si>
    <t>Charleston</t>
  </si>
  <si>
    <t xml:space="preserve"> Berkeley County Family YMCA Inc.  </t>
  </si>
  <si>
    <t>Moncks Corner</t>
  </si>
  <si>
    <t xml:space="preserve"> Summerville Family YMCA  </t>
  </si>
  <si>
    <t>Summerville</t>
  </si>
  <si>
    <t xml:space="preserve"> Foothills Area Family YMCA  </t>
  </si>
  <si>
    <t>Seneca</t>
  </si>
  <si>
    <t xml:space="preserve"> Clinton Family YMCA  </t>
  </si>
  <si>
    <t xml:space="preserve"> YMCA of Columbia South Carolina-Metro  </t>
  </si>
  <si>
    <t xml:space="preserve"> YMCA of the Upper Pee Dee  </t>
  </si>
  <si>
    <t>Hartsville</t>
  </si>
  <si>
    <t xml:space="preserve"> Pickens County YMCA  </t>
  </si>
  <si>
    <t>Easley</t>
  </si>
  <si>
    <t xml:space="preserve"> Cherokee County Family YMCA  </t>
  </si>
  <si>
    <t>Gaffeny</t>
  </si>
  <si>
    <t xml:space="preserve"> Florence Family YMCA  </t>
  </si>
  <si>
    <t xml:space="preserve"> YMCA of Greenville  </t>
  </si>
  <si>
    <t xml:space="preserve"> Greenwood YMCA  </t>
  </si>
  <si>
    <t>Greenwood</t>
  </si>
  <si>
    <t xml:space="preserve"> Upper Palmetto YMCA  </t>
  </si>
  <si>
    <t>Rock Hill</t>
  </si>
  <si>
    <t xml:space="preserve"> Family YMCA of Greater Laurens  </t>
  </si>
  <si>
    <t>Laurens</t>
  </si>
  <si>
    <t xml:space="preserve"> YMCA of Greater Spartanburg  </t>
  </si>
  <si>
    <t>Spartanburg</t>
  </si>
  <si>
    <t xml:space="preserve"> YMCA of Sumter  </t>
  </si>
  <si>
    <t>Sumter</t>
  </si>
  <si>
    <t>Union</t>
  </si>
  <si>
    <t xml:space="preserve"> Aberdeen Family YMCA  </t>
  </si>
  <si>
    <t>Aberdeen</t>
  </si>
  <si>
    <t>SD</t>
  </si>
  <si>
    <t xml:space="preserve"> YMCA of Rapid City South Dakota  </t>
  </si>
  <si>
    <t>Rapid City</t>
  </si>
  <si>
    <t xml:space="preserve"> YMCA of Sioux Falls  </t>
  </si>
  <si>
    <t>Sioux Falls</t>
  </si>
  <si>
    <t xml:space="preserve"> Oahe YMCA Inc.  </t>
  </si>
  <si>
    <t>Pierre</t>
  </si>
  <si>
    <t xml:space="preserve"> Athens-McMinn Family YMCA  </t>
  </si>
  <si>
    <t>TN</t>
  </si>
  <si>
    <t xml:space="preserve"> YMCA of Bristol  </t>
  </si>
  <si>
    <t>Bristol</t>
  </si>
  <si>
    <t xml:space="preserve"> YMCA of Metropolitan Chattanooga  </t>
  </si>
  <si>
    <t>Chattanooga</t>
  </si>
  <si>
    <t xml:space="preserve"> Unicoi County Family YMCA  </t>
  </si>
  <si>
    <t>Erwin</t>
  </si>
  <si>
    <t xml:space="preserve"> YMCA of Greene County  </t>
  </si>
  <si>
    <t>Greeneville</t>
  </si>
  <si>
    <t xml:space="preserve"> Sparta/White County Family YMCA  </t>
  </si>
  <si>
    <t>Sparta</t>
  </si>
  <si>
    <t xml:space="preserve"> YMCA of Jackson  </t>
  </si>
  <si>
    <t xml:space="preserve"> YMCA of East Tennessee  </t>
  </si>
  <si>
    <t>Knoxville</t>
  </si>
  <si>
    <t xml:space="preserve"> YMCA of Dyer County  </t>
  </si>
  <si>
    <t>Dyersburg</t>
  </si>
  <si>
    <t xml:space="preserve"> Greater Kingsport Family YMCA  </t>
  </si>
  <si>
    <t>Kingsport</t>
  </si>
  <si>
    <t xml:space="preserve"> YMCA of Memphis &amp; The Mid-South  </t>
  </si>
  <si>
    <t>Collierville</t>
  </si>
  <si>
    <t xml:space="preserve"> Milan Family YMCA  </t>
  </si>
  <si>
    <t>Milan</t>
  </si>
  <si>
    <t xml:space="preserve"> YMCA of Middle Tennessee  </t>
  </si>
  <si>
    <t xml:space="preserve"> YMCA of Abilene Texas  </t>
  </si>
  <si>
    <t>Abilene</t>
  </si>
  <si>
    <t>TX</t>
  </si>
  <si>
    <t xml:space="preserve"> YMCA of Amarillo Texas Inc.  </t>
  </si>
  <si>
    <t>Amarillo</t>
  </si>
  <si>
    <t xml:space="preserve"> YMCA of Arlington  </t>
  </si>
  <si>
    <t>Arlington</t>
  </si>
  <si>
    <t xml:space="preserve"> Austin Metropolitan YMCA  </t>
  </si>
  <si>
    <t xml:space="preserve"> Beaumont Metropolitan YMCA  </t>
  </si>
  <si>
    <t>Beaumont</t>
  </si>
  <si>
    <t xml:space="preserve"> YMCA of Big Spring Texas  </t>
  </si>
  <si>
    <t>Big Spring</t>
  </si>
  <si>
    <t xml:space="preserve"> Canadian Area Family YMCA  </t>
  </si>
  <si>
    <t>Canadian</t>
  </si>
  <si>
    <t xml:space="preserve"> YMCA of the Coastal Bend  </t>
  </si>
  <si>
    <t>Corpus Christi</t>
  </si>
  <si>
    <t xml:space="preserve"> YMCA of Corsicana  </t>
  </si>
  <si>
    <t>Corsicana</t>
  </si>
  <si>
    <t xml:space="preserve"> YMCA of Metropolitan Dallas  </t>
  </si>
  <si>
    <t>Dallas</t>
  </si>
  <si>
    <t xml:space="preserve"> YMCA of Moore County Inc.  </t>
  </si>
  <si>
    <t>Dumas</t>
  </si>
  <si>
    <t xml:space="preserve"> YMCA of Greater Williamson County  </t>
  </si>
  <si>
    <t>Round Rock</t>
  </si>
  <si>
    <t xml:space="preserve"> YMCA of Greater El Paso TX &amp; Rio Grande Val  </t>
  </si>
  <si>
    <t>El Paso</t>
  </si>
  <si>
    <t xml:space="preserve"> YMCA of Metropolitan Fort Worth  </t>
  </si>
  <si>
    <t>Fort Worth</t>
  </si>
  <si>
    <t xml:space="preserve"> Greenville/Hunt County YMCA  </t>
  </si>
  <si>
    <t xml:space="preserve"> Hereford &amp; Vicinity YMCA  </t>
  </si>
  <si>
    <t>Hereford</t>
  </si>
  <si>
    <t xml:space="preserve"> YMCA of the Greater Houston Area  </t>
  </si>
  <si>
    <t>Houston</t>
  </si>
  <si>
    <t xml:space="preserve"> YMCA of Midland Texas  </t>
  </si>
  <si>
    <t>Midland</t>
  </si>
  <si>
    <t xml:space="preserve"> Odessa Family YMCA  </t>
  </si>
  <si>
    <t>Odessa</t>
  </si>
  <si>
    <t xml:space="preserve"> Palestine YMCA  </t>
  </si>
  <si>
    <t>Palestine</t>
  </si>
  <si>
    <t xml:space="preserve"> YMCA of Plainview Texas  </t>
  </si>
  <si>
    <t>Plainview</t>
  </si>
  <si>
    <t xml:space="preserve"> YMCA of Port Arthur Texas  </t>
  </si>
  <si>
    <t>Port Arthur</t>
  </si>
  <si>
    <t xml:space="preserve"> San Angelo YMCA  </t>
  </si>
  <si>
    <t>San Angelo</t>
  </si>
  <si>
    <t xml:space="preserve"> YMCA of Greater San Antonio  </t>
  </si>
  <si>
    <t>San Antonio</t>
  </si>
  <si>
    <t xml:space="preserve"> Kerr County YMCA  </t>
  </si>
  <si>
    <t>Kerrville</t>
  </si>
  <si>
    <t xml:space="preserve"> YMCA of Tyler Texas Inc.  </t>
  </si>
  <si>
    <t>Tyler</t>
  </si>
  <si>
    <t xml:space="preserve"> The YMCA of the Golden Crescent Inc.  </t>
  </si>
  <si>
    <t>Victoria</t>
  </si>
  <si>
    <t xml:space="preserve"> YMCA of Central Texas  </t>
  </si>
  <si>
    <t>Waco</t>
  </si>
  <si>
    <t xml:space="preserve"> Wichita Falls Metropolitan YMCA  </t>
  </si>
  <si>
    <t>Wichita Falls</t>
  </si>
  <si>
    <t xml:space="preserve"> YMCA of Greater Salt Lake Area  </t>
  </si>
  <si>
    <t>Salt Lake City</t>
  </si>
  <si>
    <t>UT</t>
  </si>
  <si>
    <t xml:space="preserve"> Greater Burlington YMCA  </t>
  </si>
  <si>
    <t>VT</t>
  </si>
  <si>
    <t xml:space="preserve"> Meeting Waters YMCA  </t>
  </si>
  <si>
    <t>Bellows Falls</t>
  </si>
  <si>
    <t xml:space="preserve"> YMCA at Virginia Tech  </t>
  </si>
  <si>
    <t>Blackburg</t>
  </si>
  <si>
    <t>VA</t>
  </si>
  <si>
    <t xml:space="preserve"> Altavista Area YMCA  </t>
  </si>
  <si>
    <t>Altavista</t>
  </si>
  <si>
    <t xml:space="preserve"> Alleghany Highlands YMCA  </t>
  </si>
  <si>
    <t>Covington</t>
  </si>
  <si>
    <t xml:space="preserve"> Bedford Area Family YMCA  </t>
  </si>
  <si>
    <t>Bedford</t>
  </si>
  <si>
    <t xml:space="preserve"> Piedmont Family YMCA Inc.  </t>
  </si>
  <si>
    <t>Charlottesville</t>
  </si>
  <si>
    <t xml:space="preserve"> Danville YMCA  </t>
  </si>
  <si>
    <t xml:space="preserve"> Southside Virginia Family YMCA  </t>
  </si>
  <si>
    <t>Farmville</t>
  </si>
  <si>
    <t xml:space="preserve"> James L. Camp, Jr. YMCA  </t>
  </si>
  <si>
    <t xml:space="preserve"> Rappahannock Area YMCA  </t>
  </si>
  <si>
    <t>Falmouth</t>
  </si>
  <si>
    <t xml:space="preserve"> YMCA of Buchanan County  </t>
  </si>
  <si>
    <t>Grundy</t>
  </si>
  <si>
    <t xml:space="preserve"> Virginia YMCA  </t>
  </si>
  <si>
    <t>Lynchburg</t>
  </si>
  <si>
    <t xml:space="preserve"> YMCA of Central Virginia  </t>
  </si>
  <si>
    <t xml:space="preserve"> Franklin County Family YMCA  </t>
  </si>
  <si>
    <t xml:space="preserve"> Rockbridge Area YMCA  </t>
  </si>
  <si>
    <t xml:space="preserve"> YMCA of South Boston and Halifax County Inc.  </t>
  </si>
  <si>
    <t>South Boston</t>
  </si>
  <si>
    <t xml:space="preserve"> Martinsville &amp; Henry County Family YMCA  </t>
  </si>
  <si>
    <t xml:space="preserve"> Peninsula Metropolitan YMCA  </t>
  </si>
  <si>
    <t>Yorktown</t>
  </si>
  <si>
    <t xml:space="preserve"> YMCA of South Hampton Roads  </t>
  </si>
  <si>
    <t xml:space="preserve"> William A. Hunton Family YMCA  </t>
  </si>
  <si>
    <t xml:space="preserve"> Mecklenburg County YMCA  </t>
  </si>
  <si>
    <t>Clarksville</t>
  </si>
  <si>
    <t xml:space="preserve"> Portsmouth YMCA  </t>
  </si>
  <si>
    <t xml:space="preserve"> Family YMCA of Emporia/Greensville, Inc  </t>
  </si>
  <si>
    <t>Emporia</t>
  </si>
  <si>
    <t xml:space="preserve"> South Hill YMCA  </t>
  </si>
  <si>
    <t>South Hill</t>
  </si>
  <si>
    <t xml:space="preserve"> Hensel Eckman YMCA Inc.  </t>
  </si>
  <si>
    <t>Pulaski</t>
  </si>
  <si>
    <t xml:space="preserve"> YMCA of Greater Richmond  </t>
  </si>
  <si>
    <t xml:space="preserve"> YMCA of Roanoke Valley  </t>
  </si>
  <si>
    <t>Roanoke</t>
  </si>
  <si>
    <t xml:space="preserve"> Staunton-Augusta YMCA  </t>
  </si>
  <si>
    <t>Staunton</t>
  </si>
  <si>
    <t xml:space="preserve"> Waynesboro Family YMCA  </t>
  </si>
  <si>
    <t xml:space="preserve"> YMCA of Grays Harbor  </t>
  </si>
  <si>
    <t>Hoquiam</t>
  </si>
  <si>
    <t>WA</t>
  </si>
  <si>
    <t xml:space="preserve"> Whatcom Family YMCA  </t>
  </si>
  <si>
    <t>Bellingham</t>
  </si>
  <si>
    <t xml:space="preserve"> Clallam County YMCA Inc.  </t>
  </si>
  <si>
    <t>Port Angeles</t>
  </si>
  <si>
    <t xml:space="preserve"> YMCA of Snohomish County  </t>
  </si>
  <si>
    <t>Everett</t>
  </si>
  <si>
    <t xml:space="preserve"> YMCA of Southwest Washington  </t>
  </si>
  <si>
    <t>Longview</t>
  </si>
  <si>
    <t xml:space="preserve"> YMCA of the Greater Tri-Cities  </t>
  </si>
  <si>
    <t>Richland</t>
  </si>
  <si>
    <t xml:space="preserve"> Skagit Valley Family YMCA  </t>
  </si>
  <si>
    <t xml:space="preserve"> South Sound YMCA  </t>
  </si>
  <si>
    <t>Olympia</t>
  </si>
  <si>
    <t xml:space="preserve"> YMCA at Washington State University  </t>
  </si>
  <si>
    <t>Pullman</t>
  </si>
  <si>
    <t xml:space="preserve"> YMCA of Greater Seattle  </t>
  </si>
  <si>
    <t>Seattle</t>
  </si>
  <si>
    <t xml:space="preserve"> YMCA of the Inland Northwest  </t>
  </si>
  <si>
    <t>Spokane</t>
  </si>
  <si>
    <t xml:space="preserve"> YMCA of Tacoma and Pierce County  </t>
  </si>
  <si>
    <t>Tacoma</t>
  </si>
  <si>
    <t xml:space="preserve"> YMCA of Walla Walla  </t>
  </si>
  <si>
    <t>Walla Walla</t>
  </si>
  <si>
    <t xml:space="preserve"> Wenatchee Valley YMCA  </t>
  </si>
  <si>
    <t>Wenatchee</t>
  </si>
  <si>
    <t xml:space="preserve"> YMCA of Yakima  </t>
  </si>
  <si>
    <t>Yakima</t>
  </si>
  <si>
    <t xml:space="preserve"> YMCA of Beckley-Raleigh County  </t>
  </si>
  <si>
    <t>Beckley</t>
  </si>
  <si>
    <t>WV</t>
  </si>
  <si>
    <t xml:space="preserve"> YMCA of Kanawha Inc.  </t>
  </si>
  <si>
    <t xml:space="preserve"> Tri-County YMCA Inc.  </t>
  </si>
  <si>
    <t>Scott Depot</t>
  </si>
  <si>
    <t xml:space="preserve"> YMCA of Elkins West Virginia  </t>
  </si>
  <si>
    <t>Elkins</t>
  </si>
  <si>
    <t xml:space="preserve"> Harrison County YMCA Inc.  </t>
  </si>
  <si>
    <t>Clarksburg</t>
  </si>
  <si>
    <t xml:space="preserve"> YMCA of Huntington West Virginia  </t>
  </si>
  <si>
    <t xml:space="preserve"> YMCA of Parkersburg West Virginia  </t>
  </si>
  <si>
    <t>Parkersburg</t>
  </si>
  <si>
    <t xml:space="preserve"> YMCA of Wheeling  </t>
  </si>
  <si>
    <t>Wheeling</t>
  </si>
  <si>
    <t xml:space="preserve"> Ohio-West Virginia YMCA  </t>
  </si>
  <si>
    <t>Pt. Pleasant</t>
  </si>
  <si>
    <t xml:space="preserve"> YMCA of the Fox Cities Inc  </t>
  </si>
  <si>
    <t>Appleton</t>
  </si>
  <si>
    <t>WI</t>
  </si>
  <si>
    <t xml:space="preserve"> YMCA of Dodge County  </t>
  </si>
  <si>
    <t>Beaver Dam</t>
  </si>
  <si>
    <t xml:space="preserve"> Stateline Family YMCA of Beloit, Inc.  </t>
  </si>
  <si>
    <t>Beloit</t>
  </si>
  <si>
    <t xml:space="preserve"> Camp Manito-Wish YMCA Inc.  </t>
  </si>
  <si>
    <t>Boulder Junction</t>
  </si>
  <si>
    <t xml:space="preserve"> Chippewa Valley Family YMCA  </t>
  </si>
  <si>
    <t>Chippewa Falls</t>
  </si>
  <si>
    <t xml:space="preserve"> YMCA of Eau Claire Wisconsin  </t>
  </si>
  <si>
    <t>Eau Claire</t>
  </si>
  <si>
    <t xml:space="preserve"> Fond Du Lac Family YMCA  </t>
  </si>
  <si>
    <t>Fond Du Lac</t>
  </si>
  <si>
    <t xml:space="preserve"> Greater Marinette-Menominee YMCA Inc.  </t>
  </si>
  <si>
    <t>Menominee</t>
  </si>
  <si>
    <t xml:space="preserve"> Greater Green Bay YMCA Inc.  </t>
  </si>
  <si>
    <t>Green Bay</t>
  </si>
  <si>
    <t xml:space="preserve"> Door County YMCA  </t>
  </si>
  <si>
    <t>Sturgeon Bay</t>
  </si>
  <si>
    <t xml:space="preserve"> Family YMCA of Northern Rock County  </t>
  </si>
  <si>
    <t>Janesville</t>
  </si>
  <si>
    <t xml:space="preserve"> La Crosse Area Family YMCA  </t>
  </si>
  <si>
    <t>La Crosse</t>
  </si>
  <si>
    <t xml:space="preserve"> Geneva Lakes Family YMCA  </t>
  </si>
  <si>
    <t>Lake Geneva</t>
  </si>
  <si>
    <t xml:space="preserve"> YMCA of Dane County Inc.  </t>
  </si>
  <si>
    <t xml:space="preserve"> Marshfield Area YMCA  </t>
  </si>
  <si>
    <t>Marshfield</t>
  </si>
  <si>
    <t xml:space="preserve"> Manitowoc-Two Rivers Area YMCA  </t>
  </si>
  <si>
    <t>Manitowoc</t>
  </si>
  <si>
    <t xml:space="preserve"> Kenosha YMCA  </t>
  </si>
  <si>
    <t>Kenosha</t>
  </si>
  <si>
    <t xml:space="preserve"> YMCA of Metropolitan Milwaukee Inc.  </t>
  </si>
  <si>
    <t>Milwaukee</t>
  </si>
  <si>
    <t xml:space="preserve"> Green County Family YMCA Inc.  </t>
  </si>
  <si>
    <t xml:space="preserve"> YMCA at Pabst Farms Inc.  </t>
  </si>
  <si>
    <t>Oconomowoc</t>
  </si>
  <si>
    <t xml:space="preserve"> Oshkosh Community YMCA  </t>
  </si>
  <si>
    <t>Oshkosh</t>
  </si>
  <si>
    <t xml:space="preserve"> Racine Family YMCA  </t>
  </si>
  <si>
    <t>Racine</t>
  </si>
  <si>
    <t xml:space="preserve"> YMCA of the Northwoods  </t>
  </si>
  <si>
    <t>Rhinelander</t>
  </si>
  <si>
    <t xml:space="preserve"> Sheboygan County YMCA  </t>
  </si>
  <si>
    <t>Sheboygan</t>
  </si>
  <si>
    <t xml:space="preserve"> South Wood County YMCA  </t>
  </si>
  <si>
    <t>Port Edwards</t>
  </si>
  <si>
    <t xml:space="preserve"> Stevens Point Area YMCA  </t>
  </si>
  <si>
    <t>Stevens Point</t>
  </si>
  <si>
    <t xml:space="preserve"> Superior-Douglas County Family YMCA  </t>
  </si>
  <si>
    <t>Superior</t>
  </si>
  <si>
    <t xml:space="preserve"> Waukesha Family YMCA  </t>
  </si>
  <si>
    <t>Waukesha</t>
  </si>
  <si>
    <t xml:space="preserve"> Wausau - Woodson YMCA  </t>
  </si>
  <si>
    <t>Wausau</t>
  </si>
  <si>
    <t xml:space="preserve"> Kettle Moraine YMCA Inc.  </t>
  </si>
  <si>
    <t>West Bend</t>
  </si>
  <si>
    <t xml:space="preserve"> Casper Family YMCA  </t>
  </si>
  <si>
    <t>Casper</t>
  </si>
  <si>
    <t>WY</t>
  </si>
  <si>
    <t xml:space="preserve"> Johnson County Family YMCA  </t>
  </si>
  <si>
    <t xml:space="preserve"> Cheyenne Family YMCA  </t>
  </si>
  <si>
    <t>Cheyenne</t>
  </si>
  <si>
    <t xml:space="preserve"> Sheridan County YMCA  </t>
  </si>
  <si>
    <t>Sheridan</t>
  </si>
  <si>
    <t xml:space="preserve"> Armed Services YMCA of the USA-National Hd  </t>
  </si>
  <si>
    <t>Assn</t>
  </si>
  <si>
    <t>Customer Name</t>
  </si>
  <si>
    <t>Address</t>
  </si>
  <si>
    <t>Zip</t>
  </si>
  <si>
    <t>Phone</t>
  </si>
  <si>
    <t>RM</t>
  </si>
  <si>
    <t>UW</t>
  </si>
  <si>
    <t>Rev</t>
  </si>
  <si>
    <t>CEO Prefered Name</t>
  </si>
  <si>
    <t>CEO Last Name</t>
  </si>
  <si>
    <t>CEO Title</t>
  </si>
  <si>
    <t>Xdate</t>
  </si>
  <si>
    <t>YMCA of Calhoun County</t>
  </si>
  <si>
    <t>PO Box 1649</t>
  </si>
  <si>
    <t>256-238-9622</t>
  </si>
  <si>
    <t>TPearson</t>
  </si>
  <si>
    <t>AKimball</t>
  </si>
  <si>
    <t>Jerry</t>
  </si>
  <si>
    <t>Adkins</t>
  </si>
  <si>
    <t>CEO</t>
  </si>
  <si>
    <t>Legacy YMCA</t>
  </si>
  <si>
    <t>1501 4th Ave SW</t>
  </si>
  <si>
    <t>205-426-1211</t>
  </si>
  <si>
    <t>Rob</t>
  </si>
  <si>
    <t>Kirkland</t>
  </si>
  <si>
    <t>Birmingham Metro YMCA</t>
  </si>
  <si>
    <t>2101 Fourth Ave N</t>
  </si>
  <si>
    <t>205-801-9622</t>
  </si>
  <si>
    <t>Jim</t>
  </si>
  <si>
    <t>President/CEO</t>
  </si>
  <si>
    <t>Enterprise YMCA</t>
  </si>
  <si>
    <t>PO Box 310700</t>
  </si>
  <si>
    <t>334-347-4513</t>
  </si>
  <si>
    <t>Richard</t>
  </si>
  <si>
    <t>Pipkin</t>
  </si>
  <si>
    <t>YMCA of the Shoals</t>
  </si>
  <si>
    <t>2121 Helton Dr</t>
  </si>
  <si>
    <t>256-246-9622</t>
  </si>
  <si>
    <t>Jean</t>
  </si>
  <si>
    <t>Bock</t>
  </si>
  <si>
    <t>YMCA of the Coosa Valley</t>
  </si>
  <si>
    <t>100 Walnut St</t>
  </si>
  <si>
    <t>256-547-4947</t>
  </si>
  <si>
    <t>Leroy</t>
  </si>
  <si>
    <t>Falcon</t>
  </si>
  <si>
    <t>The Heart of The Valley YMCA</t>
  </si>
  <si>
    <t>120 Holmes Ave Ste. 405</t>
  </si>
  <si>
    <t>256.428.9622</t>
  </si>
  <si>
    <t>Scott</t>
  </si>
  <si>
    <t>Mounts</t>
  </si>
  <si>
    <t>YMCA of South Alabama, Inc.</t>
  </si>
  <si>
    <t>PO Box 91506</t>
  </si>
  <si>
    <t>251.344.5646 x 124</t>
  </si>
  <si>
    <t>Mark</t>
  </si>
  <si>
    <t>Hanke</t>
  </si>
  <si>
    <t>Dearborn YMCA</t>
  </si>
  <si>
    <t>321 N Warren St</t>
  </si>
  <si>
    <t>251-432-4768</t>
  </si>
  <si>
    <t>Eric</t>
  </si>
  <si>
    <t>Jefferson</t>
  </si>
  <si>
    <t>Monroeville Area YMCA</t>
  </si>
  <si>
    <t>2197 S Mt Pleasant Ave</t>
  </si>
  <si>
    <t>251-575-9622</t>
  </si>
  <si>
    <t>Ricky</t>
  </si>
  <si>
    <t>Powell</t>
  </si>
  <si>
    <t>Atmore Area YMCA Inc.</t>
  </si>
  <si>
    <t>501 S Pensacola Ave</t>
  </si>
  <si>
    <t>251-368-9622</t>
  </si>
  <si>
    <t>Tammy</t>
  </si>
  <si>
    <t>Graham</t>
  </si>
  <si>
    <t>Brewton Area YMCA</t>
  </si>
  <si>
    <t>#1 YMCA Drive</t>
  </si>
  <si>
    <t>251-867-9622</t>
  </si>
  <si>
    <t>Steven</t>
  </si>
  <si>
    <t>Dickey</t>
  </si>
  <si>
    <t>Montgomery YMCA Metro</t>
  </si>
  <si>
    <t>PO Box 2336</t>
  </si>
  <si>
    <t>334-269-4362</t>
  </si>
  <si>
    <t>Bob</t>
  </si>
  <si>
    <t>McGaughey</t>
  </si>
  <si>
    <t>Prattville YMCA</t>
  </si>
  <si>
    <t>PO Box 680009</t>
  </si>
  <si>
    <t>334-365-9952</t>
  </si>
  <si>
    <t>Willis</t>
  </si>
  <si>
    <t>Bradford</t>
  </si>
  <si>
    <t>General Director</t>
  </si>
  <si>
    <t>Greenville YMCA</t>
  </si>
  <si>
    <t>177 Academy Dr</t>
  </si>
  <si>
    <t>334.382.0550</t>
  </si>
  <si>
    <t>Amanda</t>
  </si>
  <si>
    <t>Phillips</t>
  </si>
  <si>
    <t>Chilton County YMCA</t>
  </si>
  <si>
    <t>405 Ollie Ave</t>
  </si>
  <si>
    <t>205-755-2382</t>
  </si>
  <si>
    <t>Rachel</t>
  </si>
  <si>
    <t>McKinnon</t>
  </si>
  <si>
    <t>YMCA of Selma</t>
  </si>
  <si>
    <t>1 YMCA Dr.</t>
  </si>
  <si>
    <t>334.874.9622</t>
  </si>
  <si>
    <t>Tina</t>
  </si>
  <si>
    <t>Caver</t>
  </si>
  <si>
    <t>Acting CEO</t>
  </si>
  <si>
    <t>Tuscaloosa Metro YMCA</t>
  </si>
  <si>
    <t>2405 Paul W Bryant Dr</t>
  </si>
  <si>
    <t>205-345-9622</t>
  </si>
  <si>
    <t>Chris</t>
  </si>
  <si>
    <t>Hester</t>
  </si>
  <si>
    <t>YMCA of Anchorage Alaska</t>
  </si>
  <si>
    <t>5353 Lake Otis Pkwy</t>
  </si>
  <si>
    <t>907-563-3211</t>
  </si>
  <si>
    <t>BHeckle</t>
  </si>
  <si>
    <t>Larry</t>
  </si>
  <si>
    <t>Parker</t>
  </si>
  <si>
    <t>C.E.O.</t>
  </si>
  <si>
    <t>Valley of the Sun YMCA</t>
  </si>
  <si>
    <t>350 N 1st Ave</t>
  </si>
  <si>
    <t>602-257-5120</t>
  </si>
  <si>
    <t>AGantz</t>
  </si>
  <si>
    <t>MAtkins</t>
  </si>
  <si>
    <t>Greg</t>
  </si>
  <si>
    <t>O`Brien</t>
  </si>
  <si>
    <t>Prescott YMCA of Yavapai County</t>
  </si>
  <si>
    <t>750 Whipple St</t>
  </si>
  <si>
    <t>928-445-7221</t>
  </si>
  <si>
    <t>TRoy</t>
  </si>
  <si>
    <t>Allan</t>
  </si>
  <si>
    <t>Klinikowski</t>
  </si>
  <si>
    <t>YMCA of Southern Arizona</t>
  </si>
  <si>
    <t>PO Box 1111</t>
  </si>
  <si>
    <t>520-623-5511</t>
  </si>
  <si>
    <t>LBohlenadmire</t>
  </si>
  <si>
    <t>Dane</t>
  </si>
  <si>
    <t>Woll</t>
  </si>
  <si>
    <t>Blytheville Regional YMCA</t>
  </si>
  <si>
    <t>2603 Lansing</t>
  </si>
  <si>
    <t>Blytheville</t>
  </si>
  <si>
    <t>870-532-9622</t>
  </si>
  <si>
    <t>JGrissom</t>
  </si>
  <si>
    <t>Dean</t>
  </si>
  <si>
    <t>Hartwick</t>
  </si>
  <si>
    <t>YMCA of Hot Springs Arkansas Inc.</t>
  </si>
  <si>
    <t>130 Werner St</t>
  </si>
  <si>
    <t>501-623-8803</t>
  </si>
  <si>
    <t>Pete</t>
  </si>
  <si>
    <t>Davin</t>
  </si>
  <si>
    <t>Executive Dir</t>
  </si>
  <si>
    <t>Jonesboro YMCA</t>
  </si>
  <si>
    <t>1421 W Nettleton Ave</t>
  </si>
  <si>
    <t>870-932-8482</t>
  </si>
  <si>
    <t>Robert</t>
  </si>
  <si>
    <t>Williams</t>
  </si>
  <si>
    <t>YMCA of Metro Little Rock</t>
  </si>
  <si>
    <t>6101 John F Kennedy Blvd</t>
  </si>
  <si>
    <t>501-758-3170</t>
  </si>
  <si>
    <t>Ted</t>
  </si>
  <si>
    <t>Maxfield</t>
  </si>
  <si>
    <t>Seabrook YMCA</t>
  </si>
  <si>
    <t>6808 S Hazel St</t>
  </si>
  <si>
    <t>870-535-6909</t>
  </si>
  <si>
    <t>Gerald</t>
  </si>
  <si>
    <t>Skinner</t>
  </si>
  <si>
    <t>Donald W Reynolds YMCA of Warren &amp; Bradley County</t>
  </si>
  <si>
    <t>207 N Main St</t>
  </si>
  <si>
    <t>870-226-2404</t>
  </si>
  <si>
    <t>Randall</t>
  </si>
  <si>
    <t>Herring</t>
  </si>
  <si>
    <t>Interim CEO</t>
  </si>
  <si>
    <t>YMCA of Anaheim</t>
  </si>
  <si>
    <t>240 S Euclid St</t>
  </si>
  <si>
    <t>714-635-9622</t>
  </si>
  <si>
    <t>MDawson</t>
  </si>
  <si>
    <t>Paul</t>
  </si>
  <si>
    <t>Andresen</t>
  </si>
  <si>
    <t>General Director/ CEO</t>
  </si>
  <si>
    <t>Berkeley YMCA</t>
  </si>
  <si>
    <t>2070 Allston Way, Ste 101</t>
  </si>
  <si>
    <t>510-549-4515</t>
  </si>
  <si>
    <t>Fran</t>
  </si>
  <si>
    <t>Gallati</t>
  </si>
  <si>
    <t>YMCA of Burbank</t>
  </si>
  <si>
    <t>321 E Magnolia Blvd</t>
  </si>
  <si>
    <t>818-845-8551</t>
  </si>
  <si>
    <t>JC</t>
  </si>
  <si>
    <t>Holt</t>
  </si>
  <si>
    <t>Central Coast YMCA</t>
  </si>
  <si>
    <t>500 Lincoln Ave.</t>
  </si>
  <si>
    <t>831-757-4633</t>
  </si>
  <si>
    <t>BCesareo</t>
  </si>
  <si>
    <t>TCooper</t>
  </si>
  <si>
    <t>Barb</t>
  </si>
  <si>
    <t>MCGaughey</t>
  </si>
  <si>
    <t>Central Valley YMCA</t>
  </si>
  <si>
    <t>PO Box 11248</t>
  </si>
  <si>
    <t>559-233-9622</t>
  </si>
  <si>
    <t>Doug</t>
  </si>
  <si>
    <t>Cink</t>
  </si>
  <si>
    <t>YMCA of the Foothills, CA</t>
  </si>
  <si>
    <t>1930 Foothill Blvd</t>
  </si>
  <si>
    <t>818-790-0123</t>
  </si>
  <si>
    <t>DBaum</t>
  </si>
  <si>
    <t>Kirk</t>
  </si>
  <si>
    <t>Dawson</t>
  </si>
  <si>
    <t>Interim Executive Director</t>
  </si>
  <si>
    <t>YMCA of Glendale</t>
  </si>
  <si>
    <t>140 N Louise St</t>
  </si>
  <si>
    <t>Glendale</t>
  </si>
  <si>
    <t>818-240-4130</t>
  </si>
  <si>
    <t>Wright</t>
  </si>
  <si>
    <t>YMCA of Kern County Inc.</t>
  </si>
  <si>
    <t>5880 District Blvd, Ste 13</t>
  </si>
  <si>
    <t>661-837-9622</t>
  </si>
  <si>
    <t>Joslynn</t>
  </si>
  <si>
    <t>Skelton</t>
  </si>
  <si>
    <t>YMCA of Kings County</t>
  </si>
  <si>
    <t>1010 W Grangeville Blvd</t>
  </si>
  <si>
    <t>559-584-9622</t>
  </si>
  <si>
    <t>Laura</t>
  </si>
  <si>
    <t>Martin</t>
  </si>
  <si>
    <t>Director</t>
  </si>
  <si>
    <t>Corcoran Family YMCA</t>
  </si>
  <si>
    <t>PO Box 176</t>
  </si>
  <si>
    <t>Corcoran</t>
  </si>
  <si>
    <t>559-992-5171 Main 559-636-4416 TF direct</t>
  </si>
  <si>
    <t>Tim</t>
  </si>
  <si>
    <t>Foster</t>
  </si>
  <si>
    <t>YMCA of Greater Long Beach</t>
  </si>
  <si>
    <t>PO Box 90995</t>
  </si>
  <si>
    <t>562 279-1700</t>
  </si>
  <si>
    <t>Alan</t>
  </si>
  <si>
    <t>Hostrup</t>
  </si>
  <si>
    <t>YMCA of Metro Los Angeles</t>
  </si>
  <si>
    <t>625 S New Hampshire Ave</t>
  </si>
  <si>
    <t>213-380-6448</t>
  </si>
  <si>
    <t>Rosen</t>
  </si>
  <si>
    <t>Mt. Diablo Region YMCA</t>
  </si>
  <si>
    <t>395 Civic Drive Suite G</t>
  </si>
  <si>
    <t>925-887-4617</t>
  </si>
  <si>
    <t>Mike</t>
  </si>
  <si>
    <t>YMCA of the East Bay</t>
  </si>
  <si>
    <t>2330 Broadway</t>
  </si>
  <si>
    <t>510-451-8039</t>
  </si>
  <si>
    <t>Wilkins</t>
  </si>
  <si>
    <t>West End YMCA</t>
  </si>
  <si>
    <t>215 West C Street</t>
  </si>
  <si>
    <t>909-481-0722</t>
  </si>
  <si>
    <t>Bill</t>
  </si>
  <si>
    <t>Hobbs</t>
  </si>
  <si>
    <t>YMCA of Orange</t>
  </si>
  <si>
    <t>2241 E. Palmyra Ave.</t>
  </si>
  <si>
    <t>714-633-9622</t>
  </si>
  <si>
    <t>Dolores</t>
  </si>
  <si>
    <t>Marikian</t>
  </si>
  <si>
    <t>YMCA of Oroville California</t>
  </si>
  <si>
    <t>1684 Robinson St</t>
  </si>
  <si>
    <t>Oroville</t>
  </si>
  <si>
    <t>530-533-9622</t>
  </si>
  <si>
    <t>Speer</t>
  </si>
  <si>
    <t>YMCA of Orange County</t>
  </si>
  <si>
    <t>13821 Newport Ave Ste 200</t>
  </si>
  <si>
    <t>714-549-9622</t>
  </si>
  <si>
    <t>Jeff</t>
  </si>
  <si>
    <t>McBride</t>
  </si>
  <si>
    <t>YMCA of the Mid-Peninsula</t>
  </si>
  <si>
    <t>4151 Middlefield Rd Ste 211</t>
  </si>
  <si>
    <t>650-493-9622</t>
  </si>
  <si>
    <t>Jordan</t>
  </si>
  <si>
    <t>YMCA of Pomona Valley</t>
  </si>
  <si>
    <t>350 N Garey Ave</t>
  </si>
  <si>
    <t>909-623-6433</t>
  </si>
  <si>
    <t>Jane</t>
  </si>
  <si>
    <t>Taylor</t>
  </si>
  <si>
    <t>Executive Director</t>
  </si>
  <si>
    <t>Shasta County YMCA</t>
  </si>
  <si>
    <t>1155 N Court St</t>
  </si>
  <si>
    <t>44875-0045</t>
  </si>
  <si>
    <t>530-246-9622</t>
  </si>
  <si>
    <t>BWatson</t>
  </si>
  <si>
    <t>Boren</t>
  </si>
  <si>
    <t>YMCA of the East Valley</t>
  </si>
  <si>
    <t>500 E Citrus Ave</t>
  </si>
  <si>
    <t>909-747-9622</t>
  </si>
  <si>
    <t>Kenneth</t>
  </si>
  <si>
    <t>Stein</t>
  </si>
  <si>
    <t>YMCA of Riverside City and County</t>
  </si>
  <si>
    <t>4020 Jefferson St</t>
  </si>
  <si>
    <t>909-689-9622</t>
  </si>
  <si>
    <t>Coleman</t>
  </si>
  <si>
    <t>Corona-Norco Family YMCA</t>
  </si>
  <si>
    <t>1331 River Rd</t>
  </si>
  <si>
    <t>909-736-9622</t>
  </si>
  <si>
    <t>Yolanda</t>
  </si>
  <si>
    <t>Carrillo</t>
  </si>
  <si>
    <t>Family YMCA of the Desert</t>
  </si>
  <si>
    <t>43930 San Pablo Ave</t>
  </si>
  <si>
    <t>760-341-9622</t>
  </si>
  <si>
    <t>Ballew</t>
  </si>
  <si>
    <t>YMCA of Superior California</t>
  </si>
  <si>
    <t>2021 W St.</t>
  </si>
  <si>
    <t>916-452-9622</t>
  </si>
  <si>
    <t>Jay</t>
  </si>
  <si>
    <t>Lowden</t>
  </si>
  <si>
    <t>Siskiyou Family YMCA</t>
  </si>
  <si>
    <t>350 N Foothill Dr</t>
  </si>
  <si>
    <t>530-842-9622</t>
  </si>
  <si>
    <t>Bwatson</t>
  </si>
  <si>
    <t>Janet</t>
  </si>
  <si>
    <t>Zalewski</t>
  </si>
  <si>
    <t>YMCA of San Diego County</t>
  </si>
  <si>
    <t>3708 Ruffin Road</t>
  </si>
  <si>
    <t>858-292-4034</t>
  </si>
  <si>
    <t>PKvale</t>
  </si>
  <si>
    <t>Rich</t>
  </si>
  <si>
    <t>Collato</t>
  </si>
  <si>
    <t>YMCA of San Francisco</t>
  </si>
  <si>
    <t>631 Howard St Ste 500</t>
  </si>
  <si>
    <t>415-777-9622</t>
  </si>
  <si>
    <t>FDean</t>
  </si>
  <si>
    <t>Charles</t>
  </si>
  <si>
    <t>Collins</t>
  </si>
  <si>
    <t>San Gabriel Valley YMCA</t>
  </si>
  <si>
    <t>412 E Rowland St</t>
  </si>
  <si>
    <t>626-339-6221</t>
  </si>
  <si>
    <t>Craig</t>
  </si>
  <si>
    <t>Cerro</t>
  </si>
  <si>
    <t>YMCA of the Silicon Valley</t>
  </si>
  <si>
    <t>1 Bush Street, 9th Floor</t>
  </si>
  <si>
    <t>408-298-3888</t>
  </si>
  <si>
    <t>Kathy</t>
  </si>
  <si>
    <t>Riggins</t>
  </si>
  <si>
    <t>San Luis Obispo County YMCA</t>
  </si>
  <si>
    <t>1020 Southwood Dr.</t>
  </si>
  <si>
    <t>805.543.8235</t>
  </si>
  <si>
    <t>Jenifer</t>
  </si>
  <si>
    <t>Rhynes</t>
  </si>
  <si>
    <t>Santa Anita Family YMCA</t>
  </si>
  <si>
    <t>501 S Mountain Ave</t>
  </si>
  <si>
    <t>626-359-9244</t>
  </si>
  <si>
    <t>Damon</t>
  </si>
  <si>
    <t>Colaluca</t>
  </si>
  <si>
    <t>Channel Islands YMCA</t>
  </si>
  <si>
    <t>55 Hitchcock Way Ste 101</t>
  </si>
  <si>
    <t>805-563-1103</t>
  </si>
  <si>
    <t>Sal</t>
  </si>
  <si>
    <t>Cisneros</t>
  </si>
  <si>
    <t>Santa Maria Valley YMCA</t>
  </si>
  <si>
    <t>3400 Skyway Dr</t>
  </si>
  <si>
    <t>805-937-8521</t>
  </si>
  <si>
    <t>Shannon</t>
  </si>
  <si>
    <t>Seifert</t>
  </si>
  <si>
    <t>Santa Monica Family YMCA</t>
  </si>
  <si>
    <t>1332 6th St</t>
  </si>
  <si>
    <t>310-393-2721</t>
  </si>
  <si>
    <t>Tara</t>
  </si>
  <si>
    <t>Pomposini</t>
  </si>
  <si>
    <t>Sonoma County Family YMCA</t>
  </si>
  <si>
    <t>1111 College Ave</t>
  </si>
  <si>
    <t>707-545-9622</t>
  </si>
  <si>
    <t>David</t>
  </si>
  <si>
    <t>Brown</t>
  </si>
  <si>
    <t>Southeast Ventura County YMCA</t>
  </si>
  <si>
    <t>100 E Thousand Oaks Blvd, Ste 295</t>
  </si>
  <si>
    <t>805-497-3081</t>
  </si>
  <si>
    <t>Rick</t>
  </si>
  <si>
    <t>Politte</t>
  </si>
  <si>
    <t>YMCA of Stanislaus County</t>
  </si>
  <si>
    <t>2700 McHenry Ave</t>
  </si>
  <si>
    <t>Modesto</t>
  </si>
  <si>
    <t>209-578-9622</t>
  </si>
  <si>
    <t>JRobbins</t>
  </si>
  <si>
    <t>Phil</t>
  </si>
  <si>
    <t>McGovern</t>
  </si>
  <si>
    <t>YMCA of San Joaquin County</t>
  </si>
  <si>
    <t>6135 Tam O`Shanter Dr.</t>
  </si>
  <si>
    <t>209-472-9622</t>
  </si>
  <si>
    <t>Russ</t>
  </si>
  <si>
    <t>Hayward</t>
  </si>
  <si>
    <t>YMCA of Golden State Visalia California</t>
  </si>
  <si>
    <t>211 W Tulare Ave</t>
  </si>
  <si>
    <t>559-627-0700</t>
  </si>
  <si>
    <t>YMCA of West San Gabriel Valley</t>
  </si>
  <si>
    <t>401 Corto St</t>
  </si>
  <si>
    <t>626-576-0226</t>
  </si>
  <si>
    <t>Valerie</t>
  </si>
  <si>
    <t>Gomez</t>
  </si>
  <si>
    <t>YMCA of Greater Whittier</t>
  </si>
  <si>
    <t>12510 E Hadley St 2nd Fl</t>
  </si>
  <si>
    <t>562-907-2727</t>
  </si>
  <si>
    <t>Blackmore</t>
  </si>
  <si>
    <t>Yolo County YMCA</t>
  </si>
  <si>
    <t>1300 College Street</t>
  </si>
  <si>
    <t>Woodland</t>
  </si>
  <si>
    <t>530-662-1086</t>
  </si>
  <si>
    <t>Barbara</t>
  </si>
  <si>
    <t>Fleck</t>
  </si>
  <si>
    <t>Yuba-Sutter Family YMCA</t>
  </si>
  <si>
    <t>853 Plumas St</t>
  </si>
  <si>
    <t>Yuba City</t>
  </si>
  <si>
    <t>530-673-8230</t>
  </si>
  <si>
    <t>Cheryl</t>
  </si>
  <si>
    <t>Peacock</t>
  </si>
  <si>
    <t>YMCA of Boulder Valley</t>
  </si>
  <si>
    <t>5541 Central Ave Ste 351-A</t>
  </si>
  <si>
    <t>303-442-2778</t>
  </si>
  <si>
    <t>Coker</t>
  </si>
  <si>
    <t>Ed &amp; Ruth Lehman YMCA</t>
  </si>
  <si>
    <t>950 Lashley Street</t>
  </si>
  <si>
    <t>303-776-0370</t>
  </si>
  <si>
    <t>Tony</t>
  </si>
  <si>
    <t>Shockency</t>
  </si>
  <si>
    <t>YMCA of the Pikes Peak Region</t>
  </si>
  <si>
    <t>207 N Nevada Ave</t>
  </si>
  <si>
    <t>719-471-9790</t>
  </si>
  <si>
    <t>Merv</t>
  </si>
  <si>
    <t>Bennett</t>
  </si>
  <si>
    <t>President</t>
  </si>
  <si>
    <t>YMCA of Metro Denver</t>
  </si>
  <si>
    <t>2625 S Colorado Blvd</t>
  </si>
  <si>
    <t>720-524-2700</t>
  </si>
  <si>
    <t>Hiner</t>
  </si>
  <si>
    <t>Fisher's Peak YMCA</t>
  </si>
  <si>
    <t>109 W Main St.</t>
  </si>
  <si>
    <t>Trinidad</t>
  </si>
  <si>
    <t>81082-2617</t>
  </si>
  <si>
    <t>719-845-1730</t>
  </si>
  <si>
    <t>Karen</t>
  </si>
  <si>
    <t>Sandbeck</t>
  </si>
  <si>
    <t>YMCA of the Rockies</t>
  </si>
  <si>
    <t>2515 Tunnel Road</t>
  </si>
  <si>
    <t>970-586-4444</t>
  </si>
  <si>
    <t>Kent</t>
  </si>
  <si>
    <t>Meyer</t>
  </si>
  <si>
    <t>YMCA of Pueblo</t>
  </si>
  <si>
    <t>700 N Albany Ave</t>
  </si>
  <si>
    <t>719-543-5151</t>
  </si>
  <si>
    <t>Terry</t>
  </si>
  <si>
    <t>Lockwood</t>
  </si>
  <si>
    <t>Valley YMCA</t>
  </si>
  <si>
    <t>12 State St</t>
  </si>
  <si>
    <t>Ansonia</t>
  </si>
  <si>
    <t>203-736-1435</t>
  </si>
  <si>
    <t>CChavarie</t>
  </si>
  <si>
    <t>Suzanne</t>
  </si>
  <si>
    <t>Reilly</t>
  </si>
  <si>
    <t>Central Connecticut Coast YMCA</t>
  </si>
  <si>
    <t>1240 Chapel St</t>
  </si>
  <si>
    <t>203-777-9622</t>
  </si>
  <si>
    <t>LJaqua</t>
  </si>
  <si>
    <t>Dwyer</t>
  </si>
  <si>
    <t>YMCA Camp Coniston</t>
  </si>
  <si>
    <t>PO Box 185</t>
  </si>
  <si>
    <t>03753-0185</t>
  </si>
  <si>
    <t>603-863-1160</t>
  </si>
  <si>
    <t>John</t>
  </si>
  <si>
    <t>Tilley</t>
  </si>
  <si>
    <t>YMCA of Greenwich Inc.</t>
  </si>
  <si>
    <t>50 E Putnam Ave</t>
  </si>
  <si>
    <t>203-869-1630</t>
  </si>
  <si>
    <t>AMullen</t>
  </si>
  <si>
    <t>Rebecca</t>
  </si>
  <si>
    <t>Fretty</t>
  </si>
  <si>
    <t>Camp Hazen YMCA</t>
  </si>
  <si>
    <t>204 W Main St</t>
  </si>
  <si>
    <t>860-526-9529</t>
  </si>
  <si>
    <t>Denise</t>
  </si>
  <si>
    <t>Learned</t>
  </si>
  <si>
    <t>Camp Mohawk YMCA Inc.</t>
  </si>
  <si>
    <t>PO Box 1209</t>
  </si>
  <si>
    <t>860-672-6655</t>
  </si>
  <si>
    <t>Marchand</t>
  </si>
  <si>
    <t>YMCA of Metro Hartford</t>
  </si>
  <si>
    <t>241 Trumbull St</t>
  </si>
  <si>
    <t>860-522-4183</t>
  </si>
  <si>
    <t>JWiencek</t>
  </si>
  <si>
    <t>Kevin</t>
  </si>
  <si>
    <t>Meriden YMCA</t>
  </si>
  <si>
    <t>110 West Main St</t>
  </si>
  <si>
    <t>203-235-6386</t>
  </si>
  <si>
    <t>Benigni</t>
  </si>
  <si>
    <t>Naugatuck YMCA</t>
  </si>
  <si>
    <t>284 Church St</t>
  </si>
  <si>
    <t>203-729-9622</t>
  </si>
  <si>
    <t>William</t>
  </si>
  <si>
    <t>Kane</t>
  </si>
  <si>
    <t>New Britain-Berlin YMCA</t>
  </si>
  <si>
    <t>50 High St</t>
  </si>
  <si>
    <t>860-229-3787</t>
  </si>
  <si>
    <t>Judy</t>
  </si>
  <si>
    <t>Jameson</t>
  </si>
  <si>
    <t>New Canaan Community YMCA</t>
  </si>
  <si>
    <t>564 South Ave</t>
  </si>
  <si>
    <t>203-966-4528</t>
  </si>
  <si>
    <t>Panzano</t>
  </si>
  <si>
    <t>Northern Middlesex County YMCA</t>
  </si>
  <si>
    <t>99 Union St</t>
  </si>
  <si>
    <t>860-347-6907</t>
  </si>
  <si>
    <t>Frank</t>
  </si>
  <si>
    <t>Sumpter</t>
  </si>
  <si>
    <t>YMCA of Norwalk Inc.</t>
  </si>
  <si>
    <t>370 West Ave</t>
  </si>
  <si>
    <t>203-866-4425</t>
  </si>
  <si>
    <t>Case</t>
  </si>
  <si>
    <t>Interim CEO (7/09)</t>
  </si>
  <si>
    <t>Wilton Family YMCA</t>
  </si>
  <si>
    <t>404 Danbury Road</t>
  </si>
  <si>
    <t>203-762-8384</t>
  </si>
  <si>
    <t>McDowell</t>
  </si>
  <si>
    <t>Southeastern Connecticut YMCA</t>
  </si>
  <si>
    <t>P.O. Box 1021</t>
  </si>
  <si>
    <t>860-889-7349</t>
  </si>
  <si>
    <t>Besty</t>
  </si>
  <si>
    <t>Ass. ED (interim)</t>
  </si>
  <si>
    <t>Regional YMCA of Western CT Inc.</t>
  </si>
  <si>
    <t>246 Federal Road Unit B 21</t>
  </si>
  <si>
    <t>203-740-3432</t>
  </si>
  <si>
    <t>Marie</t>
  </si>
  <si>
    <t>Miszewski</t>
  </si>
  <si>
    <t>Valley-Shore YMCA</t>
  </si>
  <si>
    <t>PO Box 694</t>
  </si>
  <si>
    <t>860-399-9622</t>
  </si>
  <si>
    <t>Mohabir</t>
  </si>
  <si>
    <t>Southington-Cheshire Community YMCA</t>
  </si>
  <si>
    <t>29 High Street</t>
  </si>
  <si>
    <t>860-628-5597</t>
  </si>
  <si>
    <t>Myers</t>
  </si>
  <si>
    <t>YMCA of Stamford</t>
  </si>
  <si>
    <t>909 Washington Blvd</t>
  </si>
  <si>
    <t>203-357-7000</t>
  </si>
  <si>
    <t>Ketley</t>
  </si>
  <si>
    <t>YMCA of Darien Community Inc</t>
  </si>
  <si>
    <t>2420 Post Rd</t>
  </si>
  <si>
    <t>203-655-8228</t>
  </si>
  <si>
    <t>Morrissey</t>
  </si>
  <si>
    <t>Northwestern CT YMCA</t>
  </si>
  <si>
    <t>259 Prospect Street</t>
  </si>
  <si>
    <t>860-489-3133</t>
  </si>
  <si>
    <t>Brisco</t>
  </si>
  <si>
    <t>Wallingford Family YMCA</t>
  </si>
  <si>
    <t>81 S Elm St</t>
  </si>
  <si>
    <t>203-269-4497</t>
  </si>
  <si>
    <t>Sean</t>
  </si>
  <si>
    <t>Doherty</t>
  </si>
  <si>
    <t>Greater Waterbury Family YMCA</t>
  </si>
  <si>
    <t>136 W Main St</t>
  </si>
  <si>
    <t>203-754-2181</t>
  </si>
  <si>
    <t>O`Rourke</t>
  </si>
  <si>
    <t>Interim</t>
  </si>
  <si>
    <t>YMCA of Westport/Weston CT Inc.</t>
  </si>
  <si>
    <t>PO Box 190</t>
  </si>
  <si>
    <t>203-226-8981</t>
  </si>
  <si>
    <t>Reeves</t>
  </si>
  <si>
    <t>YMCA of Delaware</t>
  </si>
  <si>
    <t>100 West 10th St, Ste 1100</t>
  </si>
  <si>
    <t>302-571-6908</t>
  </si>
  <si>
    <t>Graves</t>
  </si>
  <si>
    <t>YMCA of Metro Washington</t>
  </si>
  <si>
    <t>1112 16th St NW, Suite 720</t>
  </si>
  <si>
    <t>202-232-6700</t>
  </si>
  <si>
    <t>Angie</t>
  </si>
  <si>
    <t>Reese-Hawkins</t>
  </si>
  <si>
    <t>YMCA of South Palm Beach County</t>
  </si>
  <si>
    <t>6631 Palmetto Cir S</t>
  </si>
  <si>
    <t>561-395-9622</t>
  </si>
  <si>
    <t>Dick</t>
  </si>
  <si>
    <t>Pollock</t>
  </si>
  <si>
    <t>YMCA of Broward County</t>
  </si>
  <si>
    <t>1830 W Broward Blvd</t>
  </si>
  <si>
    <t>954.334.9622</t>
  </si>
  <si>
    <t>Sheryl</t>
  </si>
  <si>
    <t>Woods</t>
  </si>
  <si>
    <t>YMCA of the Suncoast</t>
  </si>
  <si>
    <t>2469 Enterprise Rd</t>
  </si>
  <si>
    <t>33763-1702</t>
  </si>
  <si>
    <t>727-467-9622</t>
  </si>
  <si>
    <t>Goyer</t>
  </si>
  <si>
    <t>Greater Daytona Beach YMCA</t>
  </si>
  <si>
    <t>146 Orange Avenue</t>
  </si>
  <si>
    <t>Daytona Beach</t>
  </si>
  <si>
    <t>386-253-5675</t>
  </si>
  <si>
    <t>Ken</t>
  </si>
  <si>
    <t>Barnes</t>
  </si>
  <si>
    <t>Lee County YMCA</t>
  </si>
  <si>
    <t>1360 Royal Palm Sq Blvd</t>
  </si>
  <si>
    <t>239.277.0835</t>
  </si>
  <si>
    <t>Sanger</t>
  </si>
  <si>
    <t>North Central Florida YMCA</t>
  </si>
  <si>
    <t>5201 NW 34th St</t>
  </si>
  <si>
    <t>352-338-9627</t>
  </si>
  <si>
    <t>Shawn</t>
  </si>
  <si>
    <t>Patch</t>
  </si>
  <si>
    <t>Florida's Emerald Coast YMCA</t>
  </si>
  <si>
    <t>13 Memorial Pkwy SW Ste 211</t>
  </si>
  <si>
    <t>850.897.9622</t>
  </si>
  <si>
    <t>Joe</t>
  </si>
  <si>
    <t>Casal</t>
  </si>
  <si>
    <t>FL First Coast YMCA</t>
  </si>
  <si>
    <t>12735 Gran Bay Pkwy Ste 250</t>
  </si>
  <si>
    <t>904-296-3220</t>
  </si>
  <si>
    <t>McEntire</t>
  </si>
  <si>
    <t>Marco Island YMCA</t>
  </si>
  <si>
    <t>PO Box 2529</t>
  </si>
  <si>
    <t>239-394-3144</t>
  </si>
  <si>
    <t>Cindy</t>
  </si>
  <si>
    <t>Love</t>
  </si>
  <si>
    <t>West Central Florida YMCA</t>
  </si>
  <si>
    <t>3620 Cleveland Heights Blvd</t>
  </si>
  <si>
    <t>863-644-3528</t>
  </si>
  <si>
    <t>Alice</t>
  </si>
  <si>
    <t>Slack-Collins</t>
  </si>
  <si>
    <t>Lake Wales Family YMCA</t>
  </si>
  <si>
    <t>1001 Burns Ave</t>
  </si>
  <si>
    <t>863-676-9441</t>
  </si>
  <si>
    <t>Nate</t>
  </si>
  <si>
    <t>Seidl</t>
  </si>
  <si>
    <t>YMCA of Greater Miami</t>
  </si>
  <si>
    <t>1200 NW 78 Avenue, Ste 200</t>
  </si>
  <si>
    <t>305-357-4000</t>
  </si>
  <si>
    <t>Alfred</t>
  </si>
  <si>
    <t>Sanchez</t>
  </si>
  <si>
    <t>YMCA of Key West</t>
  </si>
  <si>
    <t>1011 Virginia Street</t>
  </si>
  <si>
    <t>Key West</t>
  </si>
  <si>
    <t>305-295-9622</t>
  </si>
  <si>
    <t>Jamie</t>
  </si>
  <si>
    <t>Lemieux</t>
  </si>
  <si>
    <t>YMCA of The Palms</t>
  </si>
  <si>
    <t>5450 YMCA Rd</t>
  </si>
  <si>
    <t>239-597-3148</t>
  </si>
  <si>
    <t>Dowdy</t>
  </si>
  <si>
    <t>Central Florida Metro YMCA</t>
  </si>
  <si>
    <t>433 N Mills Ave</t>
  </si>
  <si>
    <t>407-896-9220</t>
  </si>
  <si>
    <t>Ferber</t>
  </si>
  <si>
    <t>Highlands County Family YMCA</t>
  </si>
  <si>
    <t>100 YMCA Ln</t>
  </si>
  <si>
    <t>863-382-9622</t>
  </si>
  <si>
    <t>Martino</t>
  </si>
  <si>
    <t>Palm Beaches Metro YMCA</t>
  </si>
  <si>
    <t>2085 S Congress Ave</t>
  </si>
  <si>
    <t>561-968-9622</t>
  </si>
  <si>
    <t>Bay County YMCA</t>
  </si>
  <si>
    <t>316 Luverne Ave</t>
  </si>
  <si>
    <t>Panama City</t>
  </si>
  <si>
    <t>850-747-9622</t>
  </si>
  <si>
    <t>YMCA of Northwest Florida</t>
  </si>
  <si>
    <t>415 B Tarragon St.</t>
  </si>
  <si>
    <t>850-432-8327</t>
  </si>
  <si>
    <t>Michael</t>
  </si>
  <si>
    <t>Bodenhausen</t>
  </si>
  <si>
    <t>YMCA of Greater St. Petersburg</t>
  </si>
  <si>
    <t>201 34th St. N</t>
  </si>
  <si>
    <t>727-895-9622</t>
  </si>
  <si>
    <t>Jezek</t>
  </si>
  <si>
    <t>YMCA of the Treasure Coast</t>
  </si>
  <si>
    <t>1700 SE Monterey Road</t>
  </si>
  <si>
    <t>772-286-4444</t>
  </si>
  <si>
    <t>Lass</t>
  </si>
  <si>
    <t>Manatee County Family YMCA</t>
  </si>
  <si>
    <t>3805 59th St W</t>
  </si>
  <si>
    <t>941.782.0270</t>
  </si>
  <si>
    <t>Allison</t>
  </si>
  <si>
    <t>Metro Sarasota Family YMCA</t>
  </si>
  <si>
    <t>One S School Ave, Suite 301</t>
  </si>
  <si>
    <t>941-951-2916</t>
  </si>
  <si>
    <t>Smith</t>
  </si>
  <si>
    <t>South County Family YMCA</t>
  </si>
  <si>
    <t>701 Center Rd</t>
  </si>
  <si>
    <t>941-492-9622</t>
  </si>
  <si>
    <t>Modjelewski</t>
  </si>
  <si>
    <t>Capital Region YMCA</t>
  </si>
  <si>
    <t>2001 Apalachee Pkwy</t>
  </si>
  <si>
    <t>45344-0172</t>
  </si>
  <si>
    <t>850-877-6151</t>
  </si>
  <si>
    <t>Peggy</t>
  </si>
  <si>
    <t>Conklin</t>
  </si>
  <si>
    <t>Charlotte County Family YMCA</t>
  </si>
  <si>
    <t>1777 Tamiami Trail, Ste 407</t>
  </si>
  <si>
    <t>941-629-0909</t>
  </si>
  <si>
    <t>Versnik</t>
  </si>
  <si>
    <t>Tampa Metro Area YMCA</t>
  </si>
  <si>
    <t>110 E Oak Avenue</t>
  </si>
  <si>
    <t>813-224-9622</t>
  </si>
  <si>
    <t>Tom</t>
  </si>
  <si>
    <t>Looby</t>
  </si>
  <si>
    <t>Volusia Flagler Family YMCA</t>
  </si>
  <si>
    <t>761 E. International Speedway Blvd</t>
  </si>
  <si>
    <t>786-738-9622</t>
  </si>
  <si>
    <t>Teresa</t>
  </si>
  <si>
    <t>Rogers</t>
  </si>
  <si>
    <t>Athens YMCA</t>
  </si>
  <si>
    <t>915 Hawthorne Ave</t>
  </si>
  <si>
    <t>706-543-6596</t>
  </si>
  <si>
    <t>Eich</t>
  </si>
  <si>
    <t>Albany YMCA</t>
  </si>
  <si>
    <t>1701 Gillionville Rd</t>
  </si>
  <si>
    <t>229-436-0531</t>
  </si>
  <si>
    <t>ASinagoga</t>
  </si>
  <si>
    <t>Dave</t>
  </si>
  <si>
    <t>Wallace</t>
  </si>
  <si>
    <t>YMCA of Metropolitan Atlanta Inc.</t>
  </si>
  <si>
    <t>100 Edgewood Ave NE, Suite 1100</t>
  </si>
  <si>
    <t>404-588-9622</t>
  </si>
  <si>
    <t>Edward</t>
  </si>
  <si>
    <t>Munster</t>
  </si>
  <si>
    <t>YMCA of Georgia`s Piedmont</t>
  </si>
  <si>
    <t>50 Brad Akins Dr</t>
  </si>
  <si>
    <t>770-868-2917</t>
  </si>
  <si>
    <t>Kurt</t>
  </si>
  <si>
    <t>Stringfellow</t>
  </si>
  <si>
    <t>Butler Street YMCA</t>
  </si>
  <si>
    <t>22 Jesse Hill Jr Dr NE</t>
  </si>
  <si>
    <t>404-659-8085</t>
  </si>
  <si>
    <t>Jacob</t>
  </si>
  <si>
    <t>Rhodes</t>
  </si>
  <si>
    <t>Georgia Tech YMCA</t>
  </si>
  <si>
    <t>467 Womack Rd.</t>
  </si>
  <si>
    <t>404-894-4590</t>
  </si>
  <si>
    <t>Carlton</t>
  </si>
  <si>
    <t>Metro Augusta YMCA</t>
  </si>
  <si>
    <t>3570 Wheeler Road</t>
  </si>
  <si>
    <t>706-922-9622</t>
  </si>
  <si>
    <t>Danny</t>
  </si>
  <si>
    <t>McConnell</t>
  </si>
  <si>
    <t>Bainbridge-Decatur County YMCA</t>
  </si>
  <si>
    <t>1818 E Shotwell St</t>
  </si>
  <si>
    <t>229-243-0508</t>
  </si>
  <si>
    <t>Bailey</t>
  </si>
  <si>
    <t>Columbus Metro YMCA</t>
  </si>
  <si>
    <t>118 11th St</t>
  </si>
  <si>
    <t>706-322-8269</t>
  </si>
  <si>
    <t>Steele</t>
  </si>
  <si>
    <t>Cobb County YMCA</t>
  </si>
  <si>
    <t>530 Roselane St</t>
  </si>
  <si>
    <t>770-422-1790</t>
  </si>
  <si>
    <t>Thomas</t>
  </si>
  <si>
    <t>McCleskey</t>
  </si>
  <si>
    <t>Houston County YMCA</t>
  </si>
  <si>
    <t>2954 Moody Rd</t>
  </si>
  <si>
    <t>Bonaire</t>
  </si>
  <si>
    <t>478.397.9186</t>
  </si>
  <si>
    <t>Topping</t>
  </si>
  <si>
    <t>Moultrie YMCA</t>
  </si>
  <si>
    <t>601 26th Ave SE</t>
  </si>
  <si>
    <t>229-985-1154</t>
  </si>
  <si>
    <t>Coop</t>
  </si>
  <si>
    <t>Georgia Mountains YMCA</t>
  </si>
  <si>
    <t>2455 Howard Rd</t>
  </si>
  <si>
    <t>770-297-9622</t>
  </si>
  <si>
    <t>Rome-Floyd County YMCA</t>
  </si>
  <si>
    <t>PO Box 727</t>
  </si>
  <si>
    <t>08069-2117</t>
  </si>
  <si>
    <t>706-232-2468</t>
  </si>
  <si>
    <t>Brian</t>
  </si>
  <si>
    <t>McCreless</t>
  </si>
  <si>
    <t>YMCA of Coastal Georgia</t>
  </si>
  <si>
    <t>PO Box 14142</t>
  </si>
  <si>
    <t>912.964.5898</t>
  </si>
  <si>
    <t>Randy</t>
  </si>
  <si>
    <t>Bugos</t>
  </si>
  <si>
    <t>West Broad Street YMCA</t>
  </si>
  <si>
    <t>PO Box 3165</t>
  </si>
  <si>
    <t>912-233-1951</t>
  </si>
  <si>
    <t>Peter</t>
  </si>
  <si>
    <t>Doliber</t>
  </si>
  <si>
    <t>State YMCA of Georgia</t>
  </si>
  <si>
    <t>P. O. Box 941309</t>
  </si>
  <si>
    <t>770-455-9622</t>
  </si>
  <si>
    <t>Ray</t>
  </si>
  <si>
    <t>Moses</t>
  </si>
  <si>
    <t>Tiftarea YMCA</t>
  </si>
  <si>
    <t>1823 Westover Rd</t>
  </si>
  <si>
    <t>229-391-9622</t>
  </si>
  <si>
    <t>Jimmy</t>
  </si>
  <si>
    <t>Moore</t>
  </si>
  <si>
    <t>Thomasville YMCA &amp; Youth Center</t>
  </si>
  <si>
    <t>PO Box 1037</t>
  </si>
  <si>
    <t>229-226-3446</t>
  </si>
  <si>
    <t>Wiley</t>
  </si>
  <si>
    <t>Grady</t>
  </si>
  <si>
    <t>Valdosta-Lowndes County YMCA</t>
  </si>
  <si>
    <t>PO Box 1301</t>
  </si>
  <si>
    <t>229-244-4646</t>
  </si>
  <si>
    <t>Tobey</t>
  </si>
  <si>
    <t>Toccoa-Stephens County YMCA</t>
  </si>
  <si>
    <t>117 N. Big A Road</t>
  </si>
  <si>
    <t>706-886-9622</t>
  </si>
  <si>
    <t>Leanne</t>
  </si>
  <si>
    <t>Masten</t>
  </si>
  <si>
    <t>YMCAs of Waycross GA Inc.</t>
  </si>
  <si>
    <t>1634 Plant Ave.</t>
  </si>
  <si>
    <t>912-285-8660</t>
  </si>
  <si>
    <t>Thein</t>
  </si>
  <si>
    <t>Honolulu YMCA</t>
  </si>
  <si>
    <t>1441 Pali Hwy</t>
  </si>
  <si>
    <t>808-541-5476</t>
  </si>
  <si>
    <t>Bush</t>
  </si>
  <si>
    <t>YMCA of Kauai</t>
  </si>
  <si>
    <t>PO Box 1786</t>
  </si>
  <si>
    <t>808-246-9090</t>
  </si>
  <si>
    <t>Tannery</t>
  </si>
  <si>
    <t>Maui Family YMCA</t>
  </si>
  <si>
    <t>250 Kanaloa Ave</t>
  </si>
  <si>
    <t>808-242-9007</t>
  </si>
  <si>
    <t>Morris</t>
  </si>
  <si>
    <t>Island of Hawai`i YMCA</t>
  </si>
  <si>
    <t>300 West Lanikaula Street</t>
  </si>
  <si>
    <t>808-935-3721</t>
  </si>
  <si>
    <t>Bobby</t>
  </si>
  <si>
    <t>Stivers</t>
  </si>
  <si>
    <t>Treasure Valley Family YMCA</t>
  </si>
  <si>
    <t>1050 W State Street</t>
  </si>
  <si>
    <t>208-344-5501</t>
  </si>
  <si>
    <t>YMCA of Idaho Falls, Inc.</t>
  </si>
  <si>
    <t>155 N. Corner St.</t>
  </si>
  <si>
    <t>208-523-0600</t>
  </si>
  <si>
    <t>Wood River Community YMCA</t>
  </si>
  <si>
    <t>PO Box 6801</t>
  </si>
  <si>
    <t>208.727.9622</t>
  </si>
  <si>
    <t>Beahen-Lipman</t>
  </si>
  <si>
    <t>YMCA of Twin Falls Inc.</t>
  </si>
  <si>
    <t>1751 Elizabeth Blvd.</t>
  </si>
  <si>
    <t>208-733-4384</t>
  </si>
  <si>
    <t>Gary</t>
  </si>
  <si>
    <t>Ettenger</t>
  </si>
  <si>
    <t>The West Cook YMCAs</t>
  </si>
  <si>
    <t>255 S. Marion St</t>
  </si>
  <si>
    <t>708-383-5200</t>
  </si>
  <si>
    <t>Gaalaas</t>
  </si>
  <si>
    <t>YMCA of Berwyn-Cicero</t>
  </si>
  <si>
    <t>2947 S Oak Park Ave</t>
  </si>
  <si>
    <t>708-749-0606</t>
  </si>
  <si>
    <t>Usmial</t>
  </si>
  <si>
    <t>YMCA of Belvidere</t>
  </si>
  <si>
    <t>220 W. Locust St., #1</t>
  </si>
  <si>
    <t>815-547-5307</t>
  </si>
  <si>
    <t>Holsker</t>
  </si>
  <si>
    <t>Bloomington YMCA</t>
  </si>
  <si>
    <t>602 S. Main St.</t>
  </si>
  <si>
    <t>309-827-6233</t>
  </si>
  <si>
    <t>Dennis</t>
  </si>
  <si>
    <t>Mohrman</t>
  </si>
  <si>
    <t>Wabash Valley YMCA</t>
  </si>
  <si>
    <t>400 N. Market St.</t>
  </si>
  <si>
    <t>618-263-4230</t>
  </si>
  <si>
    <t>Bramlet</t>
  </si>
  <si>
    <t>YMCA of Canton</t>
  </si>
  <si>
    <t>1325 E. Ash St.</t>
  </si>
  <si>
    <t>309-647-1616</t>
  </si>
  <si>
    <t>Don</t>
  </si>
  <si>
    <t>Heller</t>
  </si>
  <si>
    <t>Champaign County YMCA</t>
  </si>
  <si>
    <t>500 W. Church St.</t>
  </si>
  <si>
    <t>217-359-9622</t>
  </si>
  <si>
    <t>Wade</t>
  </si>
  <si>
    <t>Hampton</t>
  </si>
  <si>
    <t>YMCA of the University of Illinois</t>
  </si>
  <si>
    <t>1001 S. Wright St.</t>
  </si>
  <si>
    <t>217-337-1500</t>
  </si>
  <si>
    <t>Shoemaker</t>
  </si>
  <si>
    <t>YMCA of Metro Chicago</t>
  </si>
  <si>
    <t>801 N Dearborn Parkway</t>
  </si>
  <si>
    <t>312-932-1200</t>
  </si>
  <si>
    <t>Stephen</t>
  </si>
  <si>
    <t>Cole</t>
  </si>
  <si>
    <t>Clinton Community YMCA</t>
  </si>
  <si>
    <t>417 S. Alexander St.</t>
  </si>
  <si>
    <t>217-935-8307</t>
  </si>
  <si>
    <t>YMCA of Danville</t>
  </si>
  <si>
    <t>1111 N. Verrilion St.</t>
  </si>
  <si>
    <t>217-442-0563 x 20</t>
  </si>
  <si>
    <t>Alexander</t>
  </si>
  <si>
    <t>Decatur Family YMCA</t>
  </si>
  <si>
    <t>220 W McKinley Ave</t>
  </si>
  <si>
    <t>217-872-9622</t>
  </si>
  <si>
    <t>Stanzione</t>
  </si>
  <si>
    <t>Kishwaukee Family YMCA Inc.</t>
  </si>
  <si>
    <t>PO Box 466</t>
  </si>
  <si>
    <t>815-756-9577</t>
  </si>
  <si>
    <t>Wilkinson</t>
  </si>
  <si>
    <t>Dixon Family YMCA</t>
  </si>
  <si>
    <t>110 N. Galena Ave</t>
  </si>
  <si>
    <t>815-288-9622</t>
  </si>
  <si>
    <t>kselker</t>
  </si>
  <si>
    <t>Martha</t>
  </si>
  <si>
    <t>Rolf</t>
  </si>
  <si>
    <t>YMCA of Southwest Illinois</t>
  </si>
  <si>
    <t>424 Lebanon Ave.</t>
  </si>
  <si>
    <t>618-233-9485</t>
  </si>
  <si>
    <t>Jorge</t>
  </si>
  <si>
    <t>Perez</t>
  </si>
  <si>
    <t>Effingham County Family YMCA</t>
  </si>
  <si>
    <t>2308 Hoffman Dr. Suite A</t>
  </si>
  <si>
    <t>217-347-5155</t>
  </si>
  <si>
    <t>Shane</t>
  </si>
  <si>
    <t>Nelson</t>
  </si>
  <si>
    <t>Edwardsville YMCA</t>
  </si>
  <si>
    <t>1200 Esic Dr</t>
  </si>
  <si>
    <t>618-656-0436</t>
  </si>
  <si>
    <t>Niebur</t>
  </si>
  <si>
    <t>YMCA of Greater Elgin Area</t>
  </si>
  <si>
    <t>50 N. McLean Blvd.</t>
  </si>
  <si>
    <t>847-888-7400</t>
  </si>
  <si>
    <t>Reigner, Jr.</t>
  </si>
  <si>
    <t>Alfred Campanelli YMCA</t>
  </si>
  <si>
    <t>300 W Wise Rd</t>
  </si>
  <si>
    <t>847-891-9622 x 115</t>
  </si>
  <si>
    <t>Bublitz</t>
  </si>
  <si>
    <t>McGaw YMCA</t>
  </si>
  <si>
    <t>1000 Grove St.</t>
  </si>
  <si>
    <t>847-475-7400</t>
  </si>
  <si>
    <t>Geiger</t>
  </si>
  <si>
    <t>Fayette County Family YMCA</t>
  </si>
  <si>
    <t>109 1/2 S 5th St.</t>
  </si>
  <si>
    <t>62741-2701</t>
  </si>
  <si>
    <t>618-283-1258</t>
  </si>
  <si>
    <t>DeDe</t>
  </si>
  <si>
    <t>Hartz</t>
  </si>
  <si>
    <t>YMCA of Northwest Illinois</t>
  </si>
  <si>
    <t>2998 W. Pearl City Rd.</t>
  </si>
  <si>
    <t>815-235-9622</t>
  </si>
  <si>
    <t>Elliott</t>
  </si>
  <si>
    <t>Tri-City Area YMCA</t>
  </si>
  <si>
    <t>451 Niedringhaus Ave</t>
  </si>
  <si>
    <t>62040-4514</t>
  </si>
  <si>
    <t>618-876-7200</t>
  </si>
  <si>
    <t>Wittman</t>
  </si>
  <si>
    <t>Sherwood Eddy Memorial YMCA</t>
  </si>
  <si>
    <t>1000 Sherwood Lane</t>
  </si>
  <si>
    <t>217-245-2141</t>
  </si>
  <si>
    <t>Gilpin</t>
  </si>
  <si>
    <t>Joliet YMCA</t>
  </si>
  <si>
    <t>PO Box 3939</t>
  </si>
  <si>
    <t>815-729-9638</t>
  </si>
  <si>
    <t>Tami</t>
  </si>
  <si>
    <t>Sender</t>
  </si>
  <si>
    <t>Kankakee Area YMCA</t>
  </si>
  <si>
    <t>1075 N. Kennedy Dr.</t>
  </si>
  <si>
    <t>815-933-1741</t>
  </si>
  <si>
    <t>Dirk</t>
  </si>
  <si>
    <t>Langfoss</t>
  </si>
  <si>
    <t>YMCA of Kewanee</t>
  </si>
  <si>
    <t>315 W. 1st St.</t>
  </si>
  <si>
    <t>309.853.4431</t>
  </si>
  <si>
    <t>Jill</t>
  </si>
  <si>
    <t>Milroy</t>
  </si>
  <si>
    <t>Lincoln Area YMCA</t>
  </si>
  <si>
    <t>604 Broadway Street Ste 1</t>
  </si>
  <si>
    <t>217-735-3915</t>
  </si>
  <si>
    <t>Linda</t>
  </si>
  <si>
    <t>Marini</t>
  </si>
  <si>
    <t>YMCA of Knox County</t>
  </si>
  <si>
    <t>1324 W. Carl Sandburg Dr.</t>
  </si>
  <si>
    <t>309-344-1324</t>
  </si>
  <si>
    <t>Linus</t>
  </si>
  <si>
    <t>VanderWyst</t>
  </si>
  <si>
    <t>YMCA of McHenry County</t>
  </si>
  <si>
    <t>701 Manor St.</t>
  </si>
  <si>
    <t>815-459-4455</t>
  </si>
  <si>
    <t>Klein</t>
  </si>
  <si>
    <t>YMCA of Lombard IL</t>
  </si>
  <si>
    <t>1464 S. Main St.</t>
  </si>
  <si>
    <t>630-629-9622</t>
  </si>
  <si>
    <t>Joanne</t>
  </si>
  <si>
    <t>Mitrenga</t>
  </si>
  <si>
    <t>YMCA of McDonough County</t>
  </si>
  <si>
    <t>400 E. Calhoun St.</t>
  </si>
  <si>
    <t>309-833-2129</t>
  </si>
  <si>
    <t>Ersland</t>
  </si>
  <si>
    <t>Two Rivers YMCA</t>
  </si>
  <si>
    <t>2040 53rd St</t>
  </si>
  <si>
    <t>309-797-3945</t>
  </si>
  <si>
    <t>Dan</t>
  </si>
  <si>
    <t>Osterman</t>
  </si>
  <si>
    <t>Paris Community YMCA</t>
  </si>
  <si>
    <t>109 E. Madison St.</t>
  </si>
  <si>
    <t>217-466-9622</t>
  </si>
  <si>
    <t>Susan</t>
  </si>
  <si>
    <t>Punzelt</t>
  </si>
  <si>
    <t>Mattoon Area Family YMCA</t>
  </si>
  <si>
    <t>PO Box 875</t>
  </si>
  <si>
    <t>217-234-9494</t>
  </si>
  <si>
    <t>Eddington</t>
  </si>
  <si>
    <t>Interim (Y program exec)</t>
  </si>
  <si>
    <t>YMCA of Jefferson County</t>
  </si>
  <si>
    <t>1700 Oakland Ave</t>
  </si>
  <si>
    <t>62864-4003</t>
  </si>
  <si>
    <t>618-242-5345</t>
  </si>
  <si>
    <t>Jason</t>
  </si>
  <si>
    <t>Quinn</t>
  </si>
  <si>
    <t>Heritage YMCA Group</t>
  </si>
  <si>
    <t>34 S. Washington</t>
  </si>
  <si>
    <t>630-420-6275</t>
  </si>
  <si>
    <t>Beerntsen</t>
  </si>
  <si>
    <t>North Suburban YMCA</t>
  </si>
  <si>
    <t>2705 Techny Rd.</t>
  </si>
  <si>
    <t>847-272-7250</t>
  </si>
  <si>
    <t>Howard</t>
  </si>
  <si>
    <t>Schultz</t>
  </si>
  <si>
    <t>YMCA of Northwestern Dupage County</t>
  </si>
  <si>
    <t>49 Deicke Dr.</t>
  </si>
  <si>
    <t>630-858-0100</t>
  </si>
  <si>
    <t>Knapp</t>
  </si>
  <si>
    <t>YMCA of Ottawa Illinois</t>
  </si>
  <si>
    <t>201 E. Jackson St.</t>
  </si>
  <si>
    <t>815-433-2395</t>
  </si>
  <si>
    <t>Escutia</t>
  </si>
  <si>
    <t>Fox Valley Family YMCA Inc.</t>
  </si>
  <si>
    <t>3875 Eldamain Rd.</t>
  </si>
  <si>
    <t>630-552-4100</t>
  </si>
  <si>
    <t>Christine</t>
  </si>
  <si>
    <t>Jepsen</t>
  </si>
  <si>
    <t>Greater Peoria Family YMCA</t>
  </si>
  <si>
    <t>7000 N. Country Club Lane</t>
  </si>
  <si>
    <t>309-692-7631</t>
  </si>
  <si>
    <t>Chonowski</t>
  </si>
  <si>
    <t>Illinois Valley YMCA, Inc.</t>
  </si>
  <si>
    <t>300 Walnut Drive</t>
  </si>
  <si>
    <t>815-223-7904</t>
  </si>
  <si>
    <t>Potthoff</t>
  </si>
  <si>
    <t>Quincy YMCA</t>
  </si>
  <si>
    <t>3101 Maine St.</t>
  </si>
  <si>
    <t>217-222-9622</t>
  </si>
  <si>
    <t>Spiegelhoff</t>
  </si>
  <si>
    <t>YMCA of Rock River Valley</t>
  </si>
  <si>
    <t>200 Y Blvd</t>
  </si>
  <si>
    <t>815.489.1252</t>
  </si>
  <si>
    <t>Wray</t>
  </si>
  <si>
    <t>YMCA of Springfield</t>
  </si>
  <si>
    <t>701 S 4th St Box 155</t>
  </si>
  <si>
    <t>217-544-9846</t>
  </si>
  <si>
    <t>Darnell</t>
  </si>
  <si>
    <t>Sterling-Rock Falls Family YMCA</t>
  </si>
  <si>
    <t>2505 YMCA Way</t>
  </si>
  <si>
    <t>815-535-9622</t>
  </si>
  <si>
    <t>Vandersee</t>
  </si>
  <si>
    <t>Streator Family YMCA</t>
  </si>
  <si>
    <t>10 Oakley Ave.</t>
  </si>
  <si>
    <t>815-672-2148</t>
  </si>
  <si>
    <t>Ralph</t>
  </si>
  <si>
    <t>Sterrett</t>
  </si>
  <si>
    <t>Christian County YMCA</t>
  </si>
  <si>
    <t>900 McAdam Dr.</t>
  </si>
  <si>
    <t>217-287-7271</t>
  </si>
  <si>
    <t>Jon</t>
  </si>
  <si>
    <t>Robinson</t>
  </si>
  <si>
    <t>YMCA of Warren County</t>
  </si>
  <si>
    <t>PO Box 527</t>
  </si>
  <si>
    <t>309-734-3183</t>
  </si>
  <si>
    <t>Sam</t>
  </si>
  <si>
    <t>Brooks</t>
  </si>
  <si>
    <t>Mercer County Family YMCA</t>
  </si>
  <si>
    <t>401 SW 2nd Ave.</t>
  </si>
  <si>
    <t>309-582-5101</t>
  </si>
  <si>
    <t>Oaks</t>
  </si>
  <si>
    <t>Lake County Family YMCA</t>
  </si>
  <si>
    <t>2000 Western Ave.</t>
  </si>
  <si>
    <t>847-360-9622</t>
  </si>
  <si>
    <t>YMCA of Dekalb County Inc.</t>
  </si>
  <si>
    <t>310 N. Main St.</t>
  </si>
  <si>
    <t>260-925-9622</t>
  </si>
  <si>
    <t>Sharpnack</t>
  </si>
  <si>
    <t>Southeastern Indiana YMCA</t>
  </si>
  <si>
    <t>30 State Rd 129 S</t>
  </si>
  <si>
    <t>812-934-6006</t>
  </si>
  <si>
    <t>Lanning</t>
  </si>
  <si>
    <t>Monroe County YMCA</t>
  </si>
  <si>
    <t>PO Box 2598</t>
  </si>
  <si>
    <t>812-332-5555</t>
  </si>
  <si>
    <t>Roberta</t>
  </si>
  <si>
    <t>Kelzer</t>
  </si>
  <si>
    <t>YMCA of Clay County</t>
  </si>
  <si>
    <t>225 E. Kruzan St.</t>
  </si>
  <si>
    <t>812-442-6761</t>
  </si>
  <si>
    <t>Chad</t>
  </si>
  <si>
    <t>Zaucha</t>
  </si>
  <si>
    <t>Clinton County Family YMCA</t>
  </si>
  <si>
    <t>950 S. Maish Rd.</t>
  </si>
  <si>
    <t>46041-2838</t>
  </si>
  <si>
    <t>765-654-9622</t>
  </si>
  <si>
    <t>Commings</t>
  </si>
  <si>
    <t>Carroll County Community Center YMCA</t>
  </si>
  <si>
    <t>PO Box 85</t>
  </si>
  <si>
    <t>574-967-4449</t>
  </si>
  <si>
    <t>Maul</t>
  </si>
  <si>
    <t>Daviess County Family YMCA</t>
  </si>
  <si>
    <t>405 NE 3rd St.</t>
  </si>
  <si>
    <t>812-254-4481</t>
  </si>
  <si>
    <t>Danehy</t>
  </si>
  <si>
    <t>Scott County Family YMCA</t>
  </si>
  <si>
    <t>PO Box 511</t>
  </si>
  <si>
    <t>812-752-7239</t>
  </si>
  <si>
    <t>Matt</t>
  </si>
  <si>
    <t>Mehelick</t>
  </si>
  <si>
    <t>Decatur County Family YMCA Inc.</t>
  </si>
  <si>
    <t>1301 W. Kathy's Way</t>
  </si>
  <si>
    <t>812-663-9622</t>
  </si>
  <si>
    <t>Diane</t>
  </si>
  <si>
    <t>Hart</t>
  </si>
  <si>
    <t>Jennings County Family YMCA</t>
  </si>
  <si>
    <t>608 Buckeye St.</t>
  </si>
  <si>
    <t>812-352-0038</t>
  </si>
  <si>
    <t>YMCA of Elkhart County Inc.</t>
  </si>
  <si>
    <t>200 E. Jackson Blvd.</t>
  </si>
  <si>
    <t>574-389-7878</t>
  </si>
  <si>
    <t>Joyce</t>
  </si>
  <si>
    <t>Forman</t>
  </si>
  <si>
    <t>YMCA of Southwestern Indiana</t>
  </si>
  <si>
    <t>222 NW 6th St.</t>
  </si>
  <si>
    <t>812-423-9622</t>
  </si>
  <si>
    <t>Derrick</t>
  </si>
  <si>
    <t>Stewart</t>
  </si>
  <si>
    <t>YMCA of Greater Fort Wayne</t>
  </si>
  <si>
    <t>347 W Berry St Ste 500</t>
  </si>
  <si>
    <t>46802-3106</t>
  </si>
  <si>
    <t>260-422-6488</t>
  </si>
  <si>
    <t>Marty</t>
  </si>
  <si>
    <t>Pastura</t>
  </si>
  <si>
    <t>Owen County Family YMCA</t>
  </si>
  <si>
    <t>1111 W. State Rd 46</t>
  </si>
  <si>
    <t>812-828-9622</t>
  </si>
  <si>
    <t>Kris</t>
  </si>
  <si>
    <t>Kirchner</t>
  </si>
  <si>
    <t>Southlake YMCA Inc.</t>
  </si>
  <si>
    <t>1450 S. Court St.</t>
  </si>
  <si>
    <t>219-663-5810</t>
  </si>
  <si>
    <t>Mallers</t>
  </si>
  <si>
    <t>Hobart Family YMCA Inc.</t>
  </si>
  <si>
    <t>601 W. 40th Place</t>
  </si>
  <si>
    <t>219-942-2183</t>
  </si>
  <si>
    <t>Dale</t>
  </si>
  <si>
    <t>Polomchak</t>
  </si>
  <si>
    <t>YMCA of the Hammond Area Inc.</t>
  </si>
  <si>
    <t>7322 Southeastern Ave.</t>
  </si>
  <si>
    <t>219-845-1507</t>
  </si>
  <si>
    <t>Ed</t>
  </si>
  <si>
    <t>Salata</t>
  </si>
  <si>
    <t>Brown County Community YMCA</t>
  </si>
  <si>
    <t>105 Willow St</t>
  </si>
  <si>
    <t>812-988-9622</t>
  </si>
  <si>
    <t>Kim</t>
  </si>
  <si>
    <t>Huntington YMCA</t>
  </si>
  <si>
    <t>1160 W. 500 N</t>
  </si>
  <si>
    <t>260-356-4200</t>
  </si>
  <si>
    <t>Akeley</t>
  </si>
  <si>
    <t>YMCA of Greater Indianapolis</t>
  </si>
  <si>
    <t>615 N. Alabama St.</t>
  </si>
  <si>
    <t>317-266-9622</t>
  </si>
  <si>
    <t>Eastern Heights Family YMCA</t>
  </si>
  <si>
    <t>Rt. 4, Box 639</t>
  </si>
  <si>
    <t>Bloomfield</t>
  </si>
  <si>
    <t>812-825-5700</t>
  </si>
  <si>
    <t>Webster</t>
  </si>
  <si>
    <t>YMCA of Harrison County</t>
  </si>
  <si>
    <t>PO Box 156</t>
  </si>
  <si>
    <t>812-734-0770</t>
  </si>
  <si>
    <t>Lisa</t>
  </si>
  <si>
    <t>Fisher</t>
  </si>
  <si>
    <t>Wabash County YMCA</t>
  </si>
  <si>
    <t>275 W Market St</t>
  </si>
  <si>
    <t>260-563-1917</t>
  </si>
  <si>
    <t>Julie</t>
  </si>
  <si>
    <t>Echard</t>
  </si>
  <si>
    <t>Boone County Family YMCA Inc.</t>
  </si>
  <si>
    <t>PO Box 673</t>
  </si>
  <si>
    <t>765-482-5960</t>
  </si>
  <si>
    <t>Washington County Family YMCA</t>
  </si>
  <si>
    <t>1709 N. Shelby St.</t>
  </si>
  <si>
    <t>812-883-8495</t>
  </si>
  <si>
    <t>Jonathan</t>
  </si>
  <si>
    <t>Hill</t>
  </si>
  <si>
    <t>Switzerland County YMCA</t>
  </si>
  <si>
    <t>PO Box 113</t>
  </si>
  <si>
    <t>812-427-9622</t>
  </si>
  <si>
    <t>Southern Indiana YMCA</t>
  </si>
  <si>
    <t>PO Box 1525</t>
  </si>
  <si>
    <t>812-283-9622</t>
  </si>
  <si>
    <t>LaRocca</t>
  </si>
  <si>
    <t>Barbara B. Jordan YMCA Inc.</t>
  </si>
  <si>
    <t>2039 E. Morgan St.</t>
  </si>
  <si>
    <t>765-342-6688</t>
  </si>
  <si>
    <t>Bucci</t>
  </si>
  <si>
    <t>Cole Center Family YMCA</t>
  </si>
  <si>
    <t>PO Box 233</t>
  </si>
  <si>
    <t>260-347-9622</t>
  </si>
  <si>
    <t>Demchak</t>
  </si>
  <si>
    <t>YMCA of Kokomo Indiana</t>
  </si>
  <si>
    <t>200 N. Union St.</t>
  </si>
  <si>
    <t>765-457-4447</t>
  </si>
  <si>
    <t>Kosciusko Community YMCA Inc.</t>
  </si>
  <si>
    <t>1401 E. Smith St.</t>
  </si>
  <si>
    <t>574-269-9622</t>
  </si>
  <si>
    <t>Garland</t>
  </si>
  <si>
    <t>YMCA of Lafayette Indiana</t>
  </si>
  <si>
    <t>1950 S. 18th St.</t>
  </si>
  <si>
    <t>765-474-3448</t>
  </si>
  <si>
    <t>Cramer</t>
  </si>
  <si>
    <t>YMCA of La Porte Indiana</t>
  </si>
  <si>
    <t>901 Michigan Ave.</t>
  </si>
  <si>
    <t>219-325-9622</t>
  </si>
  <si>
    <t>Berchem</t>
  </si>
  <si>
    <t>Steuben County YMCA</t>
  </si>
  <si>
    <t>500 E. Harcourt</t>
  </si>
  <si>
    <t>260-668-3607</t>
  </si>
  <si>
    <t>George</t>
  </si>
  <si>
    <t>Tatarchuk</t>
  </si>
  <si>
    <t>Cass County Family YMCA</t>
  </si>
  <si>
    <t>905 E. Broadway</t>
  </si>
  <si>
    <t>574-753-5141</t>
  </si>
  <si>
    <t>Ellen</t>
  </si>
  <si>
    <t>Kocher</t>
  </si>
  <si>
    <t>Pulaski County Family YMCA</t>
  </si>
  <si>
    <t>120 W. 15th St.</t>
  </si>
  <si>
    <t>574-946-4150</t>
  </si>
  <si>
    <t>Brad</t>
  </si>
  <si>
    <t>Mitchell</t>
  </si>
  <si>
    <t>YMCA of Madison County Inc.</t>
  </si>
  <si>
    <t>46015-0527</t>
  </si>
  <si>
    <t>765-644-7796</t>
  </si>
  <si>
    <t>Phipps</t>
  </si>
  <si>
    <t>YMCA of Grant County</t>
  </si>
  <si>
    <t>123 Sutter Way</t>
  </si>
  <si>
    <t>765-664-0544</t>
  </si>
  <si>
    <t>Lance</t>
  </si>
  <si>
    <t>Michigan City Family YMCA</t>
  </si>
  <si>
    <t>1001 E. Coolspring Ave.</t>
  </si>
  <si>
    <t>Michigan City</t>
  </si>
  <si>
    <t>219-872-9622</t>
  </si>
  <si>
    <t>Bruce</t>
  </si>
  <si>
    <t>Zahn</t>
  </si>
  <si>
    <t>YMCA of Muncie Indiana Inc.</t>
  </si>
  <si>
    <t>500 S. Mulberry St.</t>
  </si>
  <si>
    <t>765-288-4448</t>
  </si>
  <si>
    <t>Cathy</t>
  </si>
  <si>
    <t>Clark</t>
  </si>
  <si>
    <t>Henry County YMCA</t>
  </si>
  <si>
    <t>300 Wittenbraker Ave</t>
  </si>
  <si>
    <t>765-529-3804</t>
  </si>
  <si>
    <t>Miami County YMCA</t>
  </si>
  <si>
    <t>34 E. 6th St.</t>
  </si>
  <si>
    <t>765-472-1979</t>
  </si>
  <si>
    <t>Fullmer</t>
  </si>
  <si>
    <t>YMCA of Valparaiso Indiana Inc.</t>
  </si>
  <si>
    <t>1201 Cumberland Crossing Drive</t>
  </si>
  <si>
    <t>219-462-4185</t>
  </si>
  <si>
    <t>Wanek</t>
  </si>
  <si>
    <t>YMCA of Portage Township Inc.</t>
  </si>
  <si>
    <t>3100 Willowcreek Rd.</t>
  </si>
  <si>
    <t>219-762-9622</t>
  </si>
  <si>
    <t>Kasarda</t>
  </si>
  <si>
    <t>Duneland Family YMCA</t>
  </si>
  <si>
    <t>215 Roosevelt St.</t>
  </si>
  <si>
    <t>219-926-4204</t>
  </si>
  <si>
    <t>Kym</t>
  </si>
  <si>
    <t>Groceman</t>
  </si>
  <si>
    <t>YMCA of Richmond</t>
  </si>
  <si>
    <t>2023 Chester Blvd</t>
  </si>
  <si>
    <t>765-962-7504</t>
  </si>
  <si>
    <t>Miller</t>
  </si>
  <si>
    <t>CEO/Executive Director</t>
  </si>
  <si>
    <t>Randolph County YMCA</t>
  </si>
  <si>
    <t>1521 E. Washington St.</t>
  </si>
  <si>
    <t>765-584-9622</t>
  </si>
  <si>
    <t>Ceann</t>
  </si>
  <si>
    <t>Bales</t>
  </si>
  <si>
    <t>YMCA of Michiana</t>
  </si>
  <si>
    <t>1201 Northside Blvd.</t>
  </si>
  <si>
    <t>South Bend</t>
  </si>
  <si>
    <t>574-287-9622</t>
  </si>
  <si>
    <t>Kirby</t>
  </si>
  <si>
    <t>Falkenberg</t>
  </si>
  <si>
    <t>YMCA of Terre Haute Indiana</t>
  </si>
  <si>
    <t>951 Dresser Dr.</t>
  </si>
  <si>
    <t>Terre Haute</t>
  </si>
  <si>
    <t>47807-4652</t>
  </si>
  <si>
    <t>812-232-2361</t>
  </si>
  <si>
    <t>Garvin</t>
  </si>
  <si>
    <t>YMCA of Vincennes Indiana</t>
  </si>
  <si>
    <t>2010 College Ave.</t>
  </si>
  <si>
    <t>812-895-9622</t>
  </si>
  <si>
    <t>James</t>
  </si>
  <si>
    <t>Hostetler</t>
  </si>
  <si>
    <t>Nishna Valley Family YMCA</t>
  </si>
  <si>
    <t>1100 Maple St.</t>
  </si>
  <si>
    <t>712-243-3934</t>
  </si>
  <si>
    <t>Haynes</t>
  </si>
  <si>
    <t>Algona Family YMCA</t>
  </si>
  <si>
    <t>2101 E. McGregor St.</t>
  </si>
  <si>
    <t>515-295-7701</t>
  </si>
  <si>
    <t>Bradley</t>
  </si>
  <si>
    <t>Tri-County YMCA</t>
  </si>
  <si>
    <t>PO Box 171</t>
  </si>
  <si>
    <t>812-367-1411</t>
  </si>
  <si>
    <t>Roger</t>
  </si>
  <si>
    <t>Corley</t>
  </si>
  <si>
    <t>Executive Director/CEO</t>
  </si>
  <si>
    <t>Burlington Family YMCA</t>
  </si>
  <si>
    <t>2410 Mt. Pleasant St.</t>
  </si>
  <si>
    <t>319-753-6734</t>
  </si>
  <si>
    <t>Deb</t>
  </si>
  <si>
    <t>Mulch</t>
  </si>
  <si>
    <t>YMCA of the Cedar Rapids Metropolitan Area</t>
  </si>
  <si>
    <t>207 7th Ave. SE</t>
  </si>
  <si>
    <t>319-366-6421</t>
  </si>
  <si>
    <t>Carlson</t>
  </si>
  <si>
    <t>Family YMCA of Charles City Iowa</t>
  </si>
  <si>
    <t>800 Hulin St.</t>
  </si>
  <si>
    <t>641-228-2254</t>
  </si>
  <si>
    <t>Lasher</t>
  </si>
  <si>
    <t>YMCA of Clinton Iowa Inc.</t>
  </si>
  <si>
    <t>300 5th Ave. S</t>
  </si>
  <si>
    <t>563-243-1364</t>
  </si>
  <si>
    <t>Corriveau</t>
  </si>
  <si>
    <t>Southern Prairie YMCA</t>
  </si>
  <si>
    <t>1201 W. Townline St.</t>
  </si>
  <si>
    <t>641-782-9622</t>
  </si>
  <si>
    <t>Jacquie</t>
  </si>
  <si>
    <t>Steffen</t>
  </si>
  <si>
    <t>606 W. 2nd St.</t>
  </si>
  <si>
    <t>563-322-7171</t>
  </si>
  <si>
    <t>Klipsch</t>
  </si>
  <si>
    <t>YMCA of Greater Des Moines Iowa</t>
  </si>
  <si>
    <t>101 Locust St.</t>
  </si>
  <si>
    <t>515-282-9622/515-971-3568 Vernon cell)</t>
  </si>
  <si>
    <t>Vernon</t>
  </si>
  <si>
    <t>Delpesce</t>
  </si>
  <si>
    <t>YMCA of Forest City Iowa</t>
  </si>
  <si>
    <t>916 W. I St.</t>
  </si>
  <si>
    <t>50436-1739</t>
  </si>
  <si>
    <t>641-585-5220</t>
  </si>
  <si>
    <t>Mielke</t>
  </si>
  <si>
    <t>YMCA of Northeast Iowa</t>
  </si>
  <si>
    <t>PO Bix 268</t>
  </si>
  <si>
    <t>563.864.9622</t>
  </si>
  <si>
    <t>Otto</t>
  </si>
  <si>
    <t>YMCA of Dubuque Iowa</t>
  </si>
  <si>
    <t>35 N. Booth St.</t>
  </si>
  <si>
    <t>563-556-3371</t>
  </si>
  <si>
    <t>Toby</t>
  </si>
  <si>
    <t>Wisecup</t>
  </si>
  <si>
    <t>YMCA of Fort Dodge Iowa</t>
  </si>
  <si>
    <t>1422 1st Ave. S</t>
  </si>
  <si>
    <t>515-573-7107</t>
  </si>
  <si>
    <t>Pearson</t>
  </si>
  <si>
    <t>Fort Madison Family YMCA</t>
  </si>
  <si>
    <t>220 26th St.</t>
  </si>
  <si>
    <t>319-372-2403</t>
  </si>
  <si>
    <t>Jones</t>
  </si>
  <si>
    <t>Hoerner YMCA</t>
  </si>
  <si>
    <t>2126 Plank Rd.</t>
  </si>
  <si>
    <t>319-524-6724</t>
  </si>
  <si>
    <t>Veach</t>
  </si>
  <si>
    <t>LeMars Area Family YMCA</t>
  </si>
  <si>
    <t>PO Box 41</t>
  </si>
  <si>
    <t>712-546-6655</t>
  </si>
  <si>
    <t>Todd</t>
  </si>
  <si>
    <t>YMCA of Marshalltown Iowa</t>
  </si>
  <si>
    <t>705 S. Center St.</t>
  </si>
  <si>
    <t>641-752-8658</t>
  </si>
  <si>
    <t>Carol</t>
  </si>
  <si>
    <t>Hibbs</t>
  </si>
  <si>
    <t>Mason City Family YMCA</t>
  </si>
  <si>
    <t>1840 S. Monroe Ave.</t>
  </si>
  <si>
    <t>641-422-5999</t>
  </si>
  <si>
    <t>Conley</t>
  </si>
  <si>
    <t>Muscatine Community YMCA</t>
  </si>
  <si>
    <t>1823 Logan St.</t>
  </si>
  <si>
    <t>563-263-9996</t>
  </si>
  <si>
    <t>Bret</t>
  </si>
  <si>
    <t>Olson</t>
  </si>
  <si>
    <t>YMCA of Newton Iowa Inc.</t>
  </si>
  <si>
    <t>1701 S. 8th Ave. E</t>
  </si>
  <si>
    <t>641-792-4006</t>
  </si>
  <si>
    <t>Vanderlaan</t>
  </si>
  <si>
    <t>Mahaska County YMCA</t>
  </si>
  <si>
    <t>414 N. 3rd St.</t>
  </si>
  <si>
    <t>641-673-8411</t>
  </si>
  <si>
    <t>Aaron</t>
  </si>
  <si>
    <t>YMCA of Ottumwa Iowa</t>
  </si>
  <si>
    <t>611 N. Hancock St.</t>
  </si>
  <si>
    <t>641-684-6571</t>
  </si>
  <si>
    <t>Sisler</t>
  </si>
  <si>
    <t>Montgomery County Family YMCA</t>
  </si>
  <si>
    <t>101 E. Cherry St.</t>
  </si>
  <si>
    <t>712-623-2161</t>
  </si>
  <si>
    <t>Nick</t>
  </si>
  <si>
    <t>Zimmer</t>
  </si>
  <si>
    <t>Siouxland YMCA</t>
  </si>
  <si>
    <t>601 Riverview Drive</t>
  </si>
  <si>
    <t>402.404.8439</t>
  </si>
  <si>
    <t>Engel-Cartie</t>
  </si>
  <si>
    <t>Spencer Family YMCA</t>
  </si>
  <si>
    <t>PO Box 212</t>
  </si>
  <si>
    <t>712-262-3782</t>
  </si>
  <si>
    <t>Becky</t>
  </si>
  <si>
    <t>LaBarre</t>
  </si>
  <si>
    <t>Camp Foster YMCA</t>
  </si>
  <si>
    <t>PO Box 296</t>
  </si>
  <si>
    <t>Spirit Lake</t>
  </si>
  <si>
    <t>712-336-3272</t>
  </si>
  <si>
    <t>Norm</t>
  </si>
  <si>
    <t>Johnson</t>
  </si>
  <si>
    <t>YMCA of Washington Iowa</t>
  </si>
  <si>
    <t>121 E. Main St.</t>
  </si>
  <si>
    <t>319-653-2141</t>
  </si>
  <si>
    <t>Woller</t>
  </si>
  <si>
    <t>Family YMCA of Black Hawk County</t>
  </si>
  <si>
    <t>669 S. Hackett Rd.</t>
  </si>
  <si>
    <t>319-233-3531</t>
  </si>
  <si>
    <t>YMCA of Atchison</t>
  </si>
  <si>
    <t>321 Commercial St</t>
  </si>
  <si>
    <t>913-367-4948</t>
  </si>
  <si>
    <t>Schumann</t>
  </si>
  <si>
    <t>Camp Wood YMCA</t>
  </si>
  <si>
    <t>RR 1 Box 78</t>
  </si>
  <si>
    <t>620-273-8641</t>
  </si>
  <si>
    <t>Wold</t>
  </si>
  <si>
    <t>Garden City Family YMCA</t>
  </si>
  <si>
    <t>1224 Center St.</t>
  </si>
  <si>
    <t>620-275-1199</t>
  </si>
  <si>
    <t>Knight</t>
  </si>
  <si>
    <t>YMCA of Hutchinson and Reno County</t>
  </si>
  <si>
    <t>716 E. 13th Ave.</t>
  </si>
  <si>
    <t>620-662-1203</t>
  </si>
  <si>
    <t>List</t>
  </si>
  <si>
    <t>Junction City Family YMCA</t>
  </si>
  <si>
    <t>785-762-4780</t>
  </si>
  <si>
    <t>Hayden</t>
  </si>
  <si>
    <t>McPherson Family YMCA</t>
  </si>
  <si>
    <t>PO Box 1066</t>
  </si>
  <si>
    <t>620-241-0363</t>
  </si>
  <si>
    <t>Gwyn</t>
  </si>
  <si>
    <t>Muto</t>
  </si>
  <si>
    <t>YMCA of Pittsburg</t>
  </si>
  <si>
    <t>1100 N. Miles St.</t>
  </si>
  <si>
    <t>620-231-1100</t>
  </si>
  <si>
    <t>Jack</t>
  </si>
  <si>
    <t>Bache, Jr.</t>
  </si>
  <si>
    <t>YMCA of Salina Kansas</t>
  </si>
  <si>
    <t>570 YMCA Dr.</t>
  </si>
  <si>
    <t>785-825-2151</t>
  </si>
  <si>
    <t>Guries</t>
  </si>
  <si>
    <t>Topeka YMCA</t>
  </si>
  <si>
    <t>421 SW Van Buren Street</t>
  </si>
  <si>
    <t>66603-3377</t>
  </si>
  <si>
    <t>785-354-8591</t>
  </si>
  <si>
    <t>Charlie</t>
  </si>
  <si>
    <t>Lord, II</t>
  </si>
  <si>
    <t>General Convention of Sioux YMCA</t>
  </si>
  <si>
    <t>PO Box 218</t>
  </si>
  <si>
    <t>Dupree</t>
  </si>
  <si>
    <t>605.365.5232</t>
  </si>
  <si>
    <t>SPearman</t>
  </si>
  <si>
    <t>Weitzel</t>
  </si>
  <si>
    <t>YMCA of Wichita Kansas</t>
  </si>
  <si>
    <t>3330 N Woodlawn</t>
  </si>
  <si>
    <t>316-219-9622</t>
  </si>
  <si>
    <t>Schoenebeck</t>
  </si>
  <si>
    <t>Ashland Area YMCA</t>
  </si>
  <si>
    <t>3232 Old 13th St</t>
  </si>
  <si>
    <t>606-324-6191</t>
  </si>
  <si>
    <t>Richie</t>
  </si>
  <si>
    <t>Barren County Family YMCA</t>
  </si>
  <si>
    <t>1 YMCA Way</t>
  </si>
  <si>
    <t>270- 651-9622</t>
  </si>
  <si>
    <t>Held</t>
  </si>
  <si>
    <t>Frankfort YMCA</t>
  </si>
  <si>
    <t>402 W. Broadway St.</t>
  </si>
  <si>
    <t>502-227-9637</t>
  </si>
  <si>
    <t>YMCA of Central Kentucky</t>
  </si>
  <si>
    <t>239 East High St</t>
  </si>
  <si>
    <t>859-255-9622</t>
  </si>
  <si>
    <t>Gail</t>
  </si>
  <si>
    <t>Glasser</t>
  </si>
  <si>
    <t>Paris-Bourbon County YMCA</t>
  </si>
  <si>
    <t>917 S Main St</t>
  </si>
  <si>
    <t>859-987-1395</t>
  </si>
  <si>
    <t>Boone</t>
  </si>
  <si>
    <t>YMCA of Winchester</t>
  </si>
  <si>
    <t>645 Westmeade Dr.</t>
  </si>
  <si>
    <t>40392-0020</t>
  </si>
  <si>
    <t>859-744-9622</t>
  </si>
  <si>
    <t>Pace</t>
  </si>
  <si>
    <t>Henderson County Family YMCA</t>
  </si>
  <si>
    <t>460 Klutey Park Dr.</t>
  </si>
  <si>
    <t>270-827-9622</t>
  </si>
  <si>
    <t>Sheldon</t>
  </si>
  <si>
    <t>Booze</t>
  </si>
  <si>
    <t>Limestone Family YMCA</t>
  </si>
  <si>
    <t>1080 US 68</t>
  </si>
  <si>
    <t>606-564-6772</t>
  </si>
  <si>
    <t>Tonya</t>
  </si>
  <si>
    <t>Wenz</t>
  </si>
  <si>
    <t>YMCA of Greater Louisville</t>
  </si>
  <si>
    <t>545 S. Second St.</t>
  </si>
  <si>
    <t>502-587-9622</t>
  </si>
  <si>
    <t>Steve</t>
  </si>
  <si>
    <t>Tarver</t>
  </si>
  <si>
    <t>Hopkins County Family YMCA</t>
  </si>
  <si>
    <t>150 YMCA Dr</t>
  </si>
  <si>
    <t>270-821-9622</t>
  </si>
  <si>
    <t>Pikeville Area Family YMCA</t>
  </si>
  <si>
    <t>424 Bob Amos Dr.</t>
  </si>
  <si>
    <t>41501-2035</t>
  </si>
  <si>
    <t>606-433-9622</t>
  </si>
  <si>
    <t>Sherry</t>
  </si>
  <si>
    <t>Riddle</t>
  </si>
  <si>
    <t>YMCA of Owensboro/Daviess County</t>
  </si>
  <si>
    <t>900 Kentucky Pkwy.</t>
  </si>
  <si>
    <t>270-926-9622</t>
  </si>
  <si>
    <t>HLongino</t>
  </si>
  <si>
    <t>Ehrenheim</t>
  </si>
  <si>
    <t>Union County YMCA</t>
  </si>
  <si>
    <t>PO Box 603</t>
  </si>
  <si>
    <t>42437-0603</t>
  </si>
  <si>
    <t>270-389-9622</t>
  </si>
  <si>
    <t>Krystal</t>
  </si>
  <si>
    <t>Scarberry</t>
  </si>
  <si>
    <t>Hopkinsville/Christian County Family YMCA</t>
  </si>
  <si>
    <t>7805 Eagle Way Bypass</t>
  </si>
  <si>
    <t>270-887-5382</t>
  </si>
  <si>
    <t>Watts</t>
  </si>
  <si>
    <t>Blakley YMCA</t>
  </si>
  <si>
    <t>100 E Somerset Church Road</t>
  </si>
  <si>
    <t>606-679-7428</t>
  </si>
  <si>
    <t>Cothron</t>
  </si>
  <si>
    <t>Telford Community Center YMCA</t>
  </si>
  <si>
    <t>1100 E. Main St.</t>
  </si>
  <si>
    <t>87544-3056</t>
  </si>
  <si>
    <t>859-623-9356</t>
  </si>
  <si>
    <t>Debi</t>
  </si>
  <si>
    <t>White</t>
  </si>
  <si>
    <t>YMCA of Mayfield/Graves County</t>
  </si>
  <si>
    <t>PO Box 402</t>
  </si>
  <si>
    <t>270-247-0049</t>
  </si>
  <si>
    <t>Josh</t>
  </si>
  <si>
    <t>Wessel</t>
  </si>
  <si>
    <t>Kentucky YMCA Youth Association Inc.</t>
  </si>
  <si>
    <t>PO Box 577</t>
  </si>
  <si>
    <t>40602-0577</t>
  </si>
  <si>
    <t>502-227-7028</t>
  </si>
  <si>
    <t>Wilderness Trace Family YMCA</t>
  </si>
  <si>
    <t>PO Box 326</t>
  </si>
  <si>
    <t>859-734-9622</t>
  </si>
  <si>
    <t>Fryer</t>
  </si>
  <si>
    <t>YMCA of Central Louisiana</t>
  </si>
  <si>
    <t>PO Box 13781</t>
  </si>
  <si>
    <t>318-487-4722</t>
  </si>
  <si>
    <t>London-Laurel County Family YMCA Inc.</t>
  </si>
  <si>
    <t>60 Alumni Cir</t>
  </si>
  <si>
    <t>London</t>
  </si>
  <si>
    <t>606-878-8333</t>
  </si>
  <si>
    <t>Burgin</t>
  </si>
  <si>
    <t>Director/CEO</t>
  </si>
  <si>
    <t>YMCA of the Capital Area</t>
  </si>
  <si>
    <t>350 S. Foster Dr.</t>
  </si>
  <si>
    <t>225-923-0635</t>
  </si>
  <si>
    <t>Jacobs</t>
  </si>
  <si>
    <t>Bogalusa YMCA</t>
  </si>
  <si>
    <t>411 Ave. B</t>
  </si>
  <si>
    <t>985-732-3741</t>
  </si>
  <si>
    <t>CVO</t>
  </si>
  <si>
    <t>Twin Lakes YMCA</t>
  </si>
  <si>
    <t>PO Box 712</t>
  </si>
  <si>
    <t>606.387.9622</t>
  </si>
  <si>
    <t>Ramsey</t>
  </si>
  <si>
    <t>Bayouland YMCA</t>
  </si>
  <si>
    <t>103 Valhi Blvd.</t>
  </si>
  <si>
    <t>Houma</t>
  </si>
  <si>
    <t>985-873-9622</t>
  </si>
  <si>
    <t>Angi</t>
  </si>
  <si>
    <t>Falgout</t>
  </si>
  <si>
    <t>Lake Charles YMCA</t>
  </si>
  <si>
    <t>3426 Ryan St</t>
  </si>
  <si>
    <t>Lake Charles</t>
  </si>
  <si>
    <t>337.562.8383</t>
  </si>
  <si>
    <t>Jennifer</t>
  </si>
  <si>
    <t>Hebert</t>
  </si>
  <si>
    <t>Lafayette Louisiana YMCA</t>
  </si>
  <si>
    <t>800 E Farrell Rd</t>
  </si>
  <si>
    <t>337.993.9622</t>
  </si>
  <si>
    <t>Stepanek</t>
  </si>
  <si>
    <t>YMCA of Northeast Louisiana</t>
  </si>
  <si>
    <t>1505 Stubbs Ave.</t>
  </si>
  <si>
    <t>318-387-9622</t>
  </si>
  <si>
    <t>Christopher</t>
  </si>
  <si>
    <t>Pealer</t>
  </si>
  <si>
    <t>YMCA of Greater New Orleans</t>
  </si>
  <si>
    <t>1215 Prytania St. Ste. 103</t>
  </si>
  <si>
    <t>504-568-9622</t>
  </si>
  <si>
    <t>Ozmore</t>
  </si>
  <si>
    <t>Dryades YMCA</t>
  </si>
  <si>
    <t>PO Box 56217</t>
  </si>
  <si>
    <t>504.299.4310</t>
  </si>
  <si>
    <t>Evans</t>
  </si>
  <si>
    <t>Northwest Louisiana YMCA</t>
  </si>
  <si>
    <t>PO Box 566</t>
  </si>
  <si>
    <t>318-674-9600</t>
  </si>
  <si>
    <t>Lash</t>
  </si>
  <si>
    <t>State YMCA of Maine</t>
  </si>
  <si>
    <t>305 Winthrop Center Rd.</t>
  </si>
  <si>
    <t>207-395-4200</t>
  </si>
  <si>
    <t>Barry</t>
  </si>
  <si>
    <t>Costa</t>
  </si>
  <si>
    <t>Waterville Area YMCA</t>
  </si>
  <si>
    <t>126 North St.</t>
  </si>
  <si>
    <t>18431-2049</t>
  </si>
  <si>
    <t>207-873-0684</t>
  </si>
  <si>
    <t>Walsh</t>
  </si>
  <si>
    <t>Old Town-Orono YMCA</t>
  </si>
  <si>
    <t>472 Stillwater Ave</t>
  </si>
  <si>
    <t>207-827-9622</t>
  </si>
  <si>
    <t>Wheelden</t>
  </si>
  <si>
    <t>Boothbay Region YMCA</t>
  </si>
  <si>
    <t>PO Box 500</t>
  </si>
  <si>
    <t>207-633-2855</t>
  </si>
  <si>
    <t>Andy</t>
  </si>
  <si>
    <t>Hamblett</t>
  </si>
  <si>
    <t>Down East YMCA</t>
  </si>
  <si>
    <t>PO Box 25</t>
  </si>
  <si>
    <t>207-667-3086</t>
  </si>
  <si>
    <t>Farragher</t>
  </si>
  <si>
    <t>Waldo County YMCA</t>
  </si>
  <si>
    <t>157 Lincolnville Ave.</t>
  </si>
  <si>
    <t>207-338-4598</t>
  </si>
  <si>
    <t>Cross V</t>
  </si>
  <si>
    <t>Kennebec Valley YMCA</t>
  </si>
  <si>
    <t>31 Union St</t>
  </si>
  <si>
    <t>207-626-3488</t>
  </si>
  <si>
    <t>Yerrick</t>
  </si>
  <si>
    <t>Piscataquis Regional YMCA</t>
  </si>
  <si>
    <t>48 Park St</t>
  </si>
  <si>
    <t>207-564-7111</t>
  </si>
  <si>
    <t>Erika</t>
  </si>
  <si>
    <t>Weidner</t>
  </si>
  <si>
    <t>Auburn-Lewiston YMCA</t>
  </si>
  <si>
    <t>62 Turner St</t>
  </si>
  <si>
    <t>207-795-4095</t>
  </si>
  <si>
    <t>Lawler</t>
  </si>
  <si>
    <t>Central Lincoln County YMCA</t>
  </si>
  <si>
    <t>PO Box 787</t>
  </si>
  <si>
    <t>207-563-3477</t>
  </si>
  <si>
    <t>Bangor YMCA</t>
  </si>
  <si>
    <t>127 Hammond St</t>
  </si>
  <si>
    <t>207-941-2815</t>
  </si>
  <si>
    <t>Seile</t>
  </si>
  <si>
    <t>Mount Desert Island YMCA</t>
  </si>
  <si>
    <t>PO Box 51</t>
  </si>
  <si>
    <t>207-288-3511 x 101</t>
  </si>
  <si>
    <t>Harty</t>
  </si>
  <si>
    <t>Bath Area YMCA</t>
  </si>
  <si>
    <t>303 Centre St</t>
  </si>
  <si>
    <t>207-443-4112</t>
  </si>
  <si>
    <t>Krummel</t>
  </si>
  <si>
    <t>Northern York County YMCA</t>
  </si>
  <si>
    <t>PO Box 1001</t>
  </si>
  <si>
    <t>207-283-0100</t>
  </si>
  <si>
    <t>Harkema</t>
  </si>
  <si>
    <t>Penobscot Bay YMCA</t>
  </si>
  <si>
    <t>PO Box 840</t>
  </si>
  <si>
    <t>207-236-3375</t>
  </si>
  <si>
    <t>Troy</t>
  </si>
  <si>
    <t>Curtis</t>
  </si>
  <si>
    <t>Cumberland County YMCA</t>
  </si>
  <si>
    <t>PO Box 1078</t>
  </si>
  <si>
    <t>207-874-1111</t>
  </si>
  <si>
    <t>Helen</t>
  </si>
  <si>
    <t>Brena</t>
  </si>
  <si>
    <t>Sanford-Springvale YMCA</t>
  </si>
  <si>
    <t>PO Box 249</t>
  </si>
  <si>
    <t>207-324-4942</t>
  </si>
  <si>
    <t>Orazio</t>
  </si>
  <si>
    <t>YMCA of Central Maryland</t>
  </si>
  <si>
    <t>20 S. Charles St., 6th Flr.Suite 600</t>
  </si>
  <si>
    <t>410-837-9622</t>
  </si>
  <si>
    <t>Hoey</t>
  </si>
  <si>
    <t>YMCA of Cumberland MD</t>
  </si>
  <si>
    <t>601 Kelly Rd</t>
  </si>
  <si>
    <t>301-777-9622</t>
  </si>
  <si>
    <t>Dorchester County Family YMCA, Inc.</t>
  </si>
  <si>
    <t>201 Talbot Ave.</t>
  </si>
  <si>
    <t>410-221-0505</t>
  </si>
  <si>
    <t>Dee</t>
  </si>
  <si>
    <t>McDonald</t>
  </si>
  <si>
    <t>YMCA of Cecil County</t>
  </si>
  <si>
    <t>25 YMCA Blvd</t>
  </si>
  <si>
    <t>410-398-2333</t>
  </si>
  <si>
    <t>Patchell</t>
  </si>
  <si>
    <t>YMCA of Hagerstown Maryland Inc.</t>
  </si>
  <si>
    <t>PO Box 1857</t>
  </si>
  <si>
    <t>301-739-3990</t>
  </si>
  <si>
    <t>Flicek</t>
  </si>
  <si>
    <t>YMCA of Frederick County</t>
  </si>
  <si>
    <t>1000 N Market Street</t>
  </si>
  <si>
    <t>301-663-5131</t>
  </si>
  <si>
    <t>Daria</t>
  </si>
  <si>
    <t>Putnam-Steinhardt</t>
  </si>
  <si>
    <t>Mid-Delmarva Family YMCA</t>
  </si>
  <si>
    <t>PO Box 3296</t>
  </si>
  <si>
    <t>410-749-0101 (x102 for CEO)</t>
  </si>
  <si>
    <t>Stover</t>
  </si>
  <si>
    <t>YMCA of Talbot County Inc.</t>
  </si>
  <si>
    <t>202 Peachblossom Rd.</t>
  </si>
  <si>
    <t>410-822-0566</t>
  </si>
  <si>
    <t>Robbie</t>
  </si>
  <si>
    <t>Gill</t>
  </si>
  <si>
    <t>Athol YMCA</t>
  </si>
  <si>
    <t>545 Main St.</t>
  </si>
  <si>
    <t>978-249-3305</t>
  </si>
  <si>
    <t>Jeanette</t>
  </si>
  <si>
    <t>Robichaud</t>
  </si>
  <si>
    <t>YMCA of Attleboro</t>
  </si>
  <si>
    <t>63 N Main St</t>
  </si>
  <si>
    <t>508-222-7422</t>
  </si>
  <si>
    <t>Robin</t>
  </si>
  <si>
    <t>Mcdonald</t>
  </si>
  <si>
    <t>Two State YMCA, Inc.</t>
  </si>
  <si>
    <t>748 Hamilton Rd.</t>
  </si>
  <si>
    <t>413-623-8991</t>
  </si>
  <si>
    <t>Connor</t>
  </si>
  <si>
    <t>YMCA of Greater Boston</t>
  </si>
  <si>
    <t>316 Huntington Ave.</t>
  </si>
  <si>
    <t>617-536-6950</t>
  </si>
  <si>
    <t>Ferrell</t>
  </si>
  <si>
    <t>Old Colony YMCA</t>
  </si>
  <si>
    <t>320 Main St</t>
  </si>
  <si>
    <t>508-583-2155</t>
  </si>
  <si>
    <t>Vinnie</t>
  </si>
  <si>
    <t>Marturano</t>
  </si>
  <si>
    <t>Cape Cod Young Men`s Christian Association</t>
  </si>
  <si>
    <t>PO Box 188</t>
  </si>
  <si>
    <t>508-362-6500</t>
  </si>
  <si>
    <t>Joan</t>
  </si>
  <si>
    <t>Sutherland</t>
  </si>
  <si>
    <t>Cambridge YMCA</t>
  </si>
  <si>
    <t>820 Massachusetts Ave.</t>
  </si>
  <si>
    <t>617-661-9622</t>
  </si>
  <si>
    <t>Nancy</t>
  </si>
  <si>
    <t>YMCA of Chelsea Mass</t>
  </si>
  <si>
    <t>207 Shurtleff St.</t>
  </si>
  <si>
    <t>617-884-8776</t>
  </si>
  <si>
    <t>Wayne</t>
  </si>
  <si>
    <t>Kerr</t>
  </si>
  <si>
    <t>Community YMCA of Danvers MA</t>
  </si>
  <si>
    <t>34 Pickering St</t>
  </si>
  <si>
    <t>978-774-2055</t>
  </si>
  <si>
    <t>Lenny</t>
  </si>
  <si>
    <t>Mercier</t>
  </si>
  <si>
    <t>YMCA of Martha`s Vineyard</t>
  </si>
  <si>
    <t>Montachusett Regional YMCA</t>
  </si>
  <si>
    <t>55 Wallace Ave.</t>
  </si>
  <si>
    <t>978-343-4847</t>
  </si>
  <si>
    <t>Palmer</t>
  </si>
  <si>
    <t>Greenfield YMCA</t>
  </si>
  <si>
    <t>451 Main St</t>
  </si>
  <si>
    <t>413-773-3646</t>
  </si>
  <si>
    <t>Sunderland</t>
  </si>
  <si>
    <t>Greater Holyoke YMCA</t>
  </si>
  <si>
    <t>171 Pine St.</t>
  </si>
  <si>
    <t>413-534-5631</t>
  </si>
  <si>
    <t>KMurray</t>
  </si>
  <si>
    <t>Toole</t>
  </si>
  <si>
    <t>Merrimack Valley YMCA</t>
  </si>
  <si>
    <t>101 Amesbury St., 4th Floor</t>
  </si>
  <si>
    <t>978-725-6681</t>
  </si>
  <si>
    <t>Ives</t>
  </si>
  <si>
    <t>Greater Lowell Family YMCA</t>
  </si>
  <si>
    <t>35 YMCA Dr</t>
  </si>
  <si>
    <t>978-454-7825</t>
  </si>
  <si>
    <t>Adams</t>
  </si>
  <si>
    <t>Greater Lynn YMCA</t>
  </si>
  <si>
    <t>20 Neptune Blvd</t>
  </si>
  <si>
    <t>781-581-3105</t>
  </si>
  <si>
    <t>MacDonald</t>
  </si>
  <si>
    <t>Malden YMCA</t>
  </si>
  <si>
    <t>99 Dartmouth Street</t>
  </si>
  <si>
    <t>781-324-7680</t>
  </si>
  <si>
    <t>ATerry</t>
  </si>
  <si>
    <t>Cox</t>
  </si>
  <si>
    <t>YMCA of Melrose Massachusetts</t>
  </si>
  <si>
    <t>497 Main St</t>
  </si>
  <si>
    <t>781-665-4360</t>
  </si>
  <si>
    <t>Yohe</t>
  </si>
  <si>
    <t>Southcoast YMCA</t>
  </si>
  <si>
    <t>25 S Water St</t>
  </si>
  <si>
    <t>508-997-0734</t>
  </si>
  <si>
    <t>Schuyler</t>
  </si>
  <si>
    <t>cEO</t>
  </si>
  <si>
    <t>West Suburban YMCA</t>
  </si>
  <si>
    <t>276 Church St.</t>
  </si>
  <si>
    <t>617-244-6050</t>
  </si>
  <si>
    <t>Patrick</t>
  </si>
  <si>
    <t>Northern Berkshire YMCA</t>
  </si>
  <si>
    <t>22 Brickyard Ct</t>
  </si>
  <si>
    <t>413-663-6529</t>
  </si>
  <si>
    <t>Hampshire Regional YMCA</t>
  </si>
  <si>
    <t>286 Prospect St.</t>
  </si>
  <si>
    <t>413-584-7086</t>
  </si>
  <si>
    <t>Marks</t>
  </si>
  <si>
    <t>Hockomock Area YMCA</t>
  </si>
  <si>
    <t>300 Elmwood St</t>
  </si>
  <si>
    <t>508-695-7001</t>
  </si>
  <si>
    <t>Hurley</t>
  </si>
  <si>
    <t>Pittsfield Family YMCA</t>
  </si>
  <si>
    <t>292 North St.</t>
  </si>
  <si>
    <t>413-499-7650</t>
  </si>
  <si>
    <t>Kinnas</t>
  </si>
  <si>
    <t>South Shore YMCA</t>
  </si>
  <si>
    <t>79 Coddington St</t>
  </si>
  <si>
    <t>617-479-8500</t>
  </si>
  <si>
    <t>YMCAs</t>
  </si>
  <si>
    <t>Gorman</t>
  </si>
  <si>
    <t>MetroWest YMCA Inc.</t>
  </si>
  <si>
    <t>280 Old Connecticut Path</t>
  </si>
  <si>
    <t>508-879-4420</t>
  </si>
  <si>
    <t>Jeanne</t>
  </si>
  <si>
    <t>McAllister</t>
  </si>
  <si>
    <t>North Shore YMCA</t>
  </si>
  <si>
    <t>245 Cabot Street, Suite 1</t>
  </si>
  <si>
    <t>978-922-0990</t>
  </si>
  <si>
    <t>Meany</t>
  </si>
  <si>
    <t>Somerville YMCA</t>
  </si>
  <si>
    <t>101 Highland Ave</t>
  </si>
  <si>
    <t>617-625-5050</t>
  </si>
  <si>
    <t>Murphy</t>
  </si>
  <si>
    <t>Tri-Community YMCA of Southbridge Inc.</t>
  </si>
  <si>
    <t>43 Everett St.</t>
  </si>
  <si>
    <t>508-765-5466</t>
  </si>
  <si>
    <t>Keefe</t>
  </si>
  <si>
    <t>YMCA of Greater Springfield</t>
  </si>
  <si>
    <t>275 Chestnut St</t>
  </si>
  <si>
    <t>413-739-6951</t>
  </si>
  <si>
    <t>Morton</t>
  </si>
  <si>
    <t>YMCA of Greater Westfield</t>
  </si>
  <si>
    <t>67 Court St.</t>
  </si>
  <si>
    <t>413-568-8631</t>
  </si>
  <si>
    <t>Gregg</t>
  </si>
  <si>
    <t>Thompson</t>
  </si>
  <si>
    <t>YMCA of Central Massachusetts</t>
  </si>
  <si>
    <t>766 Main St</t>
  </si>
  <si>
    <t>508-755-6101</t>
  </si>
  <si>
    <t>Hunter</t>
  </si>
  <si>
    <t>Wendell P Clark Memorial Association</t>
  </si>
  <si>
    <t>155 Central Street</t>
  </si>
  <si>
    <t>Winchendon</t>
  </si>
  <si>
    <t>978-297-9622</t>
  </si>
  <si>
    <t>State YMCA of Michigan</t>
  </si>
  <si>
    <t>919 NE Torch Lake Dr</t>
  </si>
  <si>
    <t>231-544-5915</t>
  </si>
  <si>
    <t>Betsy</t>
  </si>
  <si>
    <t>Alles</t>
  </si>
  <si>
    <t>Ann Arbor YMCA</t>
  </si>
  <si>
    <t>400 W Washington</t>
  </si>
  <si>
    <t>734-996-9622</t>
  </si>
  <si>
    <t>Cathi</t>
  </si>
  <si>
    <t>Duchon</t>
  </si>
  <si>
    <t>YMCA of Barry County</t>
  </si>
  <si>
    <t>PO Box 252</t>
  </si>
  <si>
    <t>269-945-4574</t>
  </si>
  <si>
    <t>Wilt</t>
  </si>
  <si>
    <t>Battle Creek Center YMCA</t>
  </si>
  <si>
    <t>182 Capital Avenue NE</t>
  </si>
  <si>
    <t>269-963-9622</t>
  </si>
  <si>
    <t>Fullenkamp</t>
  </si>
  <si>
    <t>Bay Area Family YMCA</t>
  </si>
  <si>
    <t>111 N Madison Ave</t>
  </si>
  <si>
    <t>989-895-8596</t>
  </si>
  <si>
    <t>Chuck</t>
  </si>
  <si>
    <t>Benton Harbor-St. Joseph YMCA</t>
  </si>
  <si>
    <t>3665 Hollywood Rd.</t>
  </si>
  <si>
    <t>269-428-9622</t>
  </si>
  <si>
    <t>Ahern</t>
  </si>
  <si>
    <t>YMCA of Metro Detroit</t>
  </si>
  <si>
    <t>10900 Harper Ave</t>
  </si>
  <si>
    <t>313-267-5300</t>
  </si>
  <si>
    <t>Reid</t>
  </si>
  <si>
    <t>Thebault</t>
  </si>
  <si>
    <t>YMCA of Delta County</t>
  </si>
  <si>
    <t>PO Box 602</t>
  </si>
  <si>
    <t>906-789-0005</t>
  </si>
  <si>
    <t>Nash</t>
  </si>
  <si>
    <t>Flint YMCA</t>
  </si>
  <si>
    <t>411 E Third St</t>
  </si>
  <si>
    <t>810-232-9622</t>
  </si>
  <si>
    <t>Fritz</t>
  </si>
  <si>
    <t>Cheek</t>
  </si>
  <si>
    <t>YMCA of Greater Grand Rapids</t>
  </si>
  <si>
    <t>475 Lake Michigan Drive NW</t>
  </si>
  <si>
    <t>616.456.6898</t>
  </si>
  <si>
    <t>Ron</t>
  </si>
  <si>
    <t>Cadillac Area YMCA</t>
  </si>
  <si>
    <t>PO Box 231</t>
  </si>
  <si>
    <t>231-775-3369</t>
  </si>
  <si>
    <t>Gentry</t>
  </si>
  <si>
    <t>Grand Traverse Bay YMCA</t>
  </si>
  <si>
    <t>3000 Racquet Club Dr.</t>
  </si>
  <si>
    <t>231-933-9622</t>
  </si>
  <si>
    <t>VanDeinse</t>
  </si>
  <si>
    <t>Kimball Camp YMCA Nature Ctr.</t>
  </si>
  <si>
    <t>4444 Long Lake Rd.</t>
  </si>
  <si>
    <t>517-283-2168</t>
  </si>
  <si>
    <t>Harold</t>
  </si>
  <si>
    <t>Campbell</t>
  </si>
  <si>
    <t>YMCA of Marquette County</t>
  </si>
  <si>
    <t>1420 Pine Street</t>
  </si>
  <si>
    <t>906-227-9622</t>
  </si>
  <si>
    <t>Coombs-Gerou</t>
  </si>
  <si>
    <t>Jackson YMCA</t>
  </si>
  <si>
    <t>127 W Wesley Street</t>
  </si>
  <si>
    <t>517-782-0537</t>
  </si>
  <si>
    <t>Heter</t>
  </si>
  <si>
    <t>YMCA of Greater Kalamazoo</t>
  </si>
  <si>
    <t>1001 West Maple St</t>
  </si>
  <si>
    <t>269-345-9622</t>
  </si>
  <si>
    <t>Springsdorf</t>
  </si>
  <si>
    <t>YMCA of Metropolitan Lansing</t>
  </si>
  <si>
    <t>119 N Washington Square</t>
  </si>
  <si>
    <t>517-484-6464</t>
  </si>
  <si>
    <t>Fragale</t>
  </si>
  <si>
    <t>YMCA of Lenawee County</t>
  </si>
  <si>
    <t>638 W Maumee St</t>
  </si>
  <si>
    <t>517-263-2151</t>
  </si>
  <si>
    <t>Clites</t>
  </si>
  <si>
    <t>Monroe Family YMCA</t>
  </si>
  <si>
    <t>1111 West Elm Avenue</t>
  </si>
  <si>
    <t>48162-2885</t>
  </si>
  <si>
    <t>734-241-2606 ext 200</t>
  </si>
  <si>
    <t>Muskegon Family YMCA</t>
  </si>
  <si>
    <t>900 W. Western Ave.</t>
  </si>
  <si>
    <t>231-722-9322</t>
  </si>
  <si>
    <t>Luke</t>
  </si>
  <si>
    <t>Seward</t>
  </si>
  <si>
    <t>Niles-Buchanan YMCA</t>
  </si>
  <si>
    <t>905 N Front St</t>
  </si>
  <si>
    <t>269-683-1552</t>
  </si>
  <si>
    <t>Hendrie</t>
  </si>
  <si>
    <t>Shiawassee Family YMCA</t>
  </si>
  <si>
    <t>515 W Main Street</t>
  </si>
  <si>
    <t>989-725-8136</t>
  </si>
  <si>
    <t>Dawn</t>
  </si>
  <si>
    <t>Reha</t>
  </si>
  <si>
    <t>YMCA of the Blue Water Area</t>
  </si>
  <si>
    <t>1525 3rd St..</t>
  </si>
  <si>
    <t>810-987-6400</t>
  </si>
  <si>
    <t>YMCA of Saginaw</t>
  </si>
  <si>
    <t>1915 Fordney St</t>
  </si>
  <si>
    <t>989-753-7721</t>
  </si>
  <si>
    <t>Hilk</t>
  </si>
  <si>
    <t>Tri-Cities Family YMCA</t>
  </si>
  <si>
    <t>1 Y Drive</t>
  </si>
  <si>
    <t>616-842-7051</t>
  </si>
  <si>
    <t>Buntley</t>
  </si>
  <si>
    <t>Sherman Lake YMCA Outdoor Center</t>
  </si>
  <si>
    <t>6225 N 39th St</t>
  </si>
  <si>
    <t>269-731-3000</t>
  </si>
  <si>
    <t>Austenfeld</t>
  </si>
  <si>
    <t>Albert Lea Family YMCA</t>
  </si>
  <si>
    <t>2021 W. Main St.</t>
  </si>
  <si>
    <t>507-373-8228</t>
  </si>
  <si>
    <t>Dieser</t>
  </si>
  <si>
    <t>YMCA of Austin Minnesota</t>
  </si>
  <si>
    <t>704 1st Dr. NW</t>
  </si>
  <si>
    <t>507-433-1804</t>
  </si>
  <si>
    <t>Bjorlie</t>
  </si>
  <si>
    <t>Brainerd Family YMCA Inc.</t>
  </si>
  <si>
    <t>602 Oak St.</t>
  </si>
  <si>
    <t>218-829-4767</t>
  </si>
  <si>
    <t>Klinger</t>
  </si>
  <si>
    <t>Duluth YMCA</t>
  </si>
  <si>
    <t>302 W 1st Street</t>
  </si>
  <si>
    <t>218-722-4745</t>
  </si>
  <si>
    <t>Fergus Falls Area Family YMCA</t>
  </si>
  <si>
    <t>1164 N. Friberg Ave.</t>
  </si>
  <si>
    <t>218-739-4489</t>
  </si>
  <si>
    <t>Raasch</t>
  </si>
  <si>
    <t>Itasca County Family YMCA</t>
  </si>
  <si>
    <t>400 River Road</t>
  </si>
  <si>
    <t>218-327-1161</t>
  </si>
  <si>
    <t>Kandiyohi County Area Family YMCA</t>
  </si>
  <si>
    <t>P. O. Box 757</t>
  </si>
  <si>
    <t>320-222-9622</t>
  </si>
  <si>
    <t>Theresa</t>
  </si>
  <si>
    <t>Wittenberg</t>
  </si>
  <si>
    <t>YMCA of Mankato</t>
  </si>
  <si>
    <t>1401 S. Riverfront Dr.</t>
  </si>
  <si>
    <t>507-387-8255</t>
  </si>
  <si>
    <t>Kind</t>
  </si>
  <si>
    <t>Mesabi Family YMCA Inc.</t>
  </si>
  <si>
    <t>8367 Unity Dr.</t>
  </si>
  <si>
    <t>218-749-8020</t>
  </si>
  <si>
    <t>Henderson-korbi</t>
  </si>
  <si>
    <t>YMCA of Metro Minneapolis</t>
  </si>
  <si>
    <t>30 S 9th St</t>
  </si>
  <si>
    <t>612-371-8700</t>
  </si>
  <si>
    <t>Mezile Jr</t>
  </si>
  <si>
    <t>Marshall Area YMCA</t>
  </si>
  <si>
    <t>200 S. A Street</t>
  </si>
  <si>
    <t>56258-1700</t>
  </si>
  <si>
    <t>507-532-9622</t>
  </si>
  <si>
    <t>begins late Nov 2008</t>
  </si>
  <si>
    <t>YMCA of Red Wing Minnesota</t>
  </si>
  <si>
    <t>434 Main St.</t>
  </si>
  <si>
    <t>651-388-4724</t>
  </si>
  <si>
    <t>Melstad</t>
  </si>
  <si>
    <t>YMCA of Rochester Inc.</t>
  </si>
  <si>
    <t>709 1st Ave. SW</t>
  </si>
  <si>
    <t>507-287-2260</t>
  </si>
  <si>
    <t>Courts</t>
  </si>
  <si>
    <t>Camp Olson YMCA</t>
  </si>
  <si>
    <t>PO Box 118</t>
  </si>
  <si>
    <t>218-363-2207</t>
  </si>
  <si>
    <t>Link</t>
  </si>
  <si>
    <t>St. Cloud Area Family YMCA</t>
  </si>
  <si>
    <t>1530 Northway Dr.</t>
  </si>
  <si>
    <t>320-253-2664</t>
  </si>
  <si>
    <t>Gack</t>
  </si>
  <si>
    <t>Greater St. Paul YMCA</t>
  </si>
  <si>
    <t>2125 E Hennepin Ave, Suite 150</t>
  </si>
  <si>
    <t>612-465-0450</t>
  </si>
  <si>
    <t>Brinsko</t>
  </si>
  <si>
    <t>Worthington Area YMCA</t>
  </si>
  <si>
    <t>211 11th St.</t>
  </si>
  <si>
    <t>07102-4504</t>
  </si>
  <si>
    <t>507-376-6197</t>
  </si>
  <si>
    <t>Winona Family YMCA Inc.</t>
  </si>
  <si>
    <t>207 Winona St.</t>
  </si>
  <si>
    <t>507-454-1520</t>
  </si>
  <si>
    <t>Andrew</t>
  </si>
  <si>
    <t>Blomsness</t>
  </si>
  <si>
    <t>Frank P. Phillips Memorial YMCA</t>
  </si>
  <si>
    <t>602 2nd Ave. N.</t>
  </si>
  <si>
    <t>662-328-7696</t>
  </si>
  <si>
    <t>Boyd</t>
  </si>
  <si>
    <t>Northfield Area Family YMCA</t>
  </si>
  <si>
    <t>519 Division St</t>
  </si>
  <si>
    <t>507.645.0088</t>
  </si>
  <si>
    <t>Kaczmarek</t>
  </si>
  <si>
    <t>Hodding Carter Memorial YMCA</t>
  </si>
  <si>
    <t>1688 Fairgrounds Rd.</t>
  </si>
  <si>
    <t>662-335-7258</t>
  </si>
  <si>
    <t>Philip</t>
  </si>
  <si>
    <t>Doiron</t>
  </si>
  <si>
    <t>Family YMCA of Southeast Mississippi Inc.</t>
  </si>
  <si>
    <t>3719 Veterans Memorial Dr.</t>
  </si>
  <si>
    <t>601-583-4000</t>
  </si>
  <si>
    <t>Henley</t>
  </si>
  <si>
    <t>Mississippi Gulf Coast YMCA</t>
  </si>
  <si>
    <t>1810 Government St.</t>
  </si>
  <si>
    <t>228-875-5050</t>
  </si>
  <si>
    <t>Hecker</t>
  </si>
  <si>
    <t>Jackson Metropolitan YMCA</t>
  </si>
  <si>
    <t>826 North St.</t>
  </si>
  <si>
    <t>601-948-0818</t>
  </si>
  <si>
    <t>Simpson County YMCA</t>
  </si>
  <si>
    <t>662 12th Ave. SE</t>
  </si>
  <si>
    <t>Magee</t>
  </si>
  <si>
    <t>601-849-5759</t>
  </si>
  <si>
    <t>Schaub</t>
  </si>
  <si>
    <t>Junius Ward Johnson YMCA</t>
  </si>
  <si>
    <t>267 YMCA Place</t>
  </si>
  <si>
    <t>601-638-1071</t>
  </si>
  <si>
    <t>Herb</t>
  </si>
  <si>
    <t>University YMCA of the University of Missouri</t>
  </si>
  <si>
    <t>A022 Brady Commons (E Rollins St), Univ. of Missouri</t>
  </si>
  <si>
    <t>573-882-1550</t>
  </si>
  <si>
    <t>Julia</t>
  </si>
  <si>
    <t>Long Branch Area YMCA</t>
  </si>
  <si>
    <t>1304 S. Missouri St.</t>
  </si>
  <si>
    <t>63552-4451</t>
  </si>
  <si>
    <t>660-385-1818</t>
  </si>
  <si>
    <t>JLetendre</t>
  </si>
  <si>
    <t>Angela</t>
  </si>
  <si>
    <t>Prenger</t>
  </si>
  <si>
    <t>Grand River Area Family YMCA Inc.</t>
  </si>
  <si>
    <t>PO Box 751</t>
  </si>
  <si>
    <t>660-646-6677</t>
  </si>
  <si>
    <t>Hannibal YMCA</t>
  </si>
  <si>
    <t>63401-2270</t>
  </si>
  <si>
    <t>573-221-0586</t>
  </si>
  <si>
    <t>Friesen</t>
  </si>
  <si>
    <t>573.221.0588 direct</t>
  </si>
  <si>
    <t>Jefferson City Area YMCA</t>
  </si>
  <si>
    <t>PO Box 104176</t>
  </si>
  <si>
    <t>65110-4176</t>
  </si>
  <si>
    <t>573-761-9000</t>
  </si>
  <si>
    <t>Lammers</t>
  </si>
  <si>
    <t>Joplin Family YMCA</t>
  </si>
  <si>
    <t>PO Box 227</t>
  </si>
  <si>
    <t>417-623-4597</t>
  </si>
  <si>
    <t>Cookie</t>
  </si>
  <si>
    <t>Estrada</t>
  </si>
  <si>
    <t>YMCA of Greater Kansas City</t>
  </si>
  <si>
    <t>3100 Broadway St, Suite 930</t>
  </si>
  <si>
    <t>816-561-9622</t>
  </si>
  <si>
    <t>Gene</t>
  </si>
  <si>
    <t>Dooley</t>
  </si>
  <si>
    <t>Salt Fork YMCA</t>
  </si>
  <si>
    <t>740 E. Yerby St.</t>
  </si>
  <si>
    <t>660-886-9622</t>
  </si>
  <si>
    <t>Harvey</t>
  </si>
  <si>
    <t>Freeman Southwest Family YMCA</t>
  </si>
  <si>
    <t>4701 Chouteau Ave.</t>
  </si>
  <si>
    <t>64850-9123</t>
  </si>
  <si>
    <t>417-455-9999</t>
  </si>
  <si>
    <t>Jenny</t>
  </si>
  <si>
    <t>Holweger</t>
  </si>
  <si>
    <t>Twin Pike Family YMCA Inc.</t>
  </si>
  <si>
    <t>614 Kelly Lane</t>
  </si>
  <si>
    <t>573-754-4497</t>
  </si>
  <si>
    <t>Marsha</t>
  </si>
  <si>
    <t>Garrison</t>
  </si>
  <si>
    <t>Adair County Family YMCA</t>
  </si>
  <si>
    <t>1708 S. Jamison St.</t>
  </si>
  <si>
    <t>660-665-1922</t>
  </si>
  <si>
    <t>Dempsay</t>
  </si>
  <si>
    <t>Mexico Area Family YMCA</t>
  </si>
  <si>
    <t>1127 Adams St.</t>
  </si>
  <si>
    <t>65265-2288</t>
  </si>
  <si>
    <t>573-581-1540</t>
  </si>
  <si>
    <t>Medley</t>
  </si>
  <si>
    <t>YMCA of St. Joseph Missouri</t>
  </si>
  <si>
    <t>315 S 6th St</t>
  </si>
  <si>
    <t>816-232-3344</t>
  </si>
  <si>
    <t>Cartledge</t>
  </si>
  <si>
    <t>Callaway County YMCA</t>
  </si>
  <si>
    <t>1715 Wood Street</t>
  </si>
  <si>
    <t>573-642-1065</t>
  </si>
  <si>
    <t>Patricia</t>
  </si>
  <si>
    <t>Cameron Regional YMCA</t>
  </si>
  <si>
    <t>420 E Evergreen St</t>
  </si>
  <si>
    <t>816.632.3811</t>
  </si>
  <si>
    <t>Mary Jo</t>
  </si>
  <si>
    <t>Eiberger</t>
  </si>
  <si>
    <t>Fair Acres Family YMCA</t>
  </si>
  <si>
    <t>2600 Grand Ave</t>
  </si>
  <si>
    <t>417-358-1070</t>
  </si>
  <si>
    <t>Brower</t>
  </si>
  <si>
    <t>Greater St. Louis YMCA</t>
  </si>
  <si>
    <t>1528 Locust St.</t>
  </si>
  <si>
    <t>314-436-1177</t>
  </si>
  <si>
    <t>Schlansker</t>
  </si>
  <si>
    <t>Randolph Area YMCA</t>
  </si>
  <si>
    <t>1000 KWIX Rd</t>
  </si>
  <si>
    <t>660.263.3600</t>
  </si>
  <si>
    <t>Boonslick Heartland YMCA</t>
  </si>
  <si>
    <t>PO Box 104</t>
  </si>
  <si>
    <t>660-882-8500</t>
  </si>
  <si>
    <t>Hendrix</t>
  </si>
  <si>
    <t>Osage Prairie YMCA Inc.</t>
  </si>
  <si>
    <t>500 W. Highland Ave.</t>
  </si>
  <si>
    <t>417-667-9622</t>
  </si>
  <si>
    <t>Schneringer</t>
  </si>
  <si>
    <t>Tri-County YMCA of the Ozarks</t>
  </si>
  <si>
    <t>PO Box 541</t>
  </si>
  <si>
    <t>65065-0541</t>
  </si>
  <si>
    <t>573-348-9230</t>
  </si>
  <si>
    <t>Joann</t>
  </si>
  <si>
    <t>Rutherford</t>
  </si>
  <si>
    <t>Ozarks Regional YMCA</t>
  </si>
  <si>
    <t>417 S. Jefferson Ave.</t>
  </si>
  <si>
    <t>417-862-7456</t>
  </si>
  <si>
    <t>Toft</t>
  </si>
  <si>
    <t>Ozarks Family YMCA</t>
  </si>
  <si>
    <t>1 YMCA Dr</t>
  </si>
  <si>
    <t>417-926-6737</t>
  </si>
  <si>
    <t>Long</t>
  </si>
  <si>
    <t>YMCA of Billings</t>
  </si>
  <si>
    <t>402 N 32nd St</t>
  </si>
  <si>
    <t>406-248-1685</t>
  </si>
  <si>
    <t>Manning</t>
  </si>
  <si>
    <t>YMCA of Southeast Missouri</t>
  </si>
  <si>
    <t>602 Tanner St.</t>
  </si>
  <si>
    <t>63801-1685</t>
  </si>
  <si>
    <t>573-472-9622</t>
  </si>
  <si>
    <t>Partridge</t>
  </si>
  <si>
    <t>Butte Family YMCA Inc.</t>
  </si>
  <si>
    <t>405 W Park St</t>
  </si>
  <si>
    <t>Butte</t>
  </si>
  <si>
    <t>59701-9120</t>
  </si>
  <si>
    <t>406-782-1266</t>
  </si>
  <si>
    <t>Raye</t>
  </si>
  <si>
    <t>Vincent</t>
  </si>
  <si>
    <t>Southwestern Montana Family YMCA</t>
  </si>
  <si>
    <t>75 Swenson Way</t>
  </si>
  <si>
    <t>406-683-9622</t>
  </si>
  <si>
    <t>Pelletier</t>
  </si>
  <si>
    <t>YMCA of Helena</t>
  </si>
  <si>
    <t>1200 N Last Chance Gulch St</t>
  </si>
  <si>
    <t>406-442-9622</t>
  </si>
  <si>
    <t>Greater Missoula Family YMCA</t>
  </si>
  <si>
    <t>3000 S. Russell St.</t>
  </si>
  <si>
    <t>59801-8547</t>
  </si>
  <si>
    <t>406-721-9622</t>
  </si>
  <si>
    <t>Ports</t>
  </si>
  <si>
    <t>Gallatin Valley YMCA</t>
  </si>
  <si>
    <t>4598 E Baxter Ln</t>
  </si>
  <si>
    <t>406.994.9622</t>
  </si>
  <si>
    <t>Interim ED</t>
  </si>
  <si>
    <t>Beatrice Mary Family YMCA</t>
  </si>
  <si>
    <t>1801 Scott St.</t>
  </si>
  <si>
    <t>Beatrice</t>
  </si>
  <si>
    <t>68310-4112</t>
  </si>
  <si>
    <t>402-223-5266</t>
  </si>
  <si>
    <t>Gilfry</t>
  </si>
  <si>
    <t>Alliance Area Family YMCA</t>
  </si>
  <si>
    <t>69301-4613</t>
  </si>
  <si>
    <t>308-762-2201</t>
  </si>
  <si>
    <t>Brenda</t>
  </si>
  <si>
    <t>Columbus Family YMCA Inc.</t>
  </si>
  <si>
    <t>2200 28th Ave</t>
  </si>
  <si>
    <t>402-564-9477</t>
  </si>
  <si>
    <t>Corey</t>
  </si>
  <si>
    <t>Briggs</t>
  </si>
  <si>
    <t>YMCA of Fremont Nebraska</t>
  </si>
  <si>
    <t>810 N. Lincoln Ave.</t>
  </si>
  <si>
    <t>68025-4488</t>
  </si>
  <si>
    <t>402-721-6921</t>
  </si>
  <si>
    <t>Rinne</t>
  </si>
  <si>
    <t>Kearney Family YMCA</t>
  </si>
  <si>
    <t>4500 6th Ave.</t>
  </si>
  <si>
    <t>308-237-9622</t>
  </si>
  <si>
    <t>Denny</t>
  </si>
  <si>
    <t>Placzek</t>
  </si>
  <si>
    <t>YMCA of Grand Island Nebraska</t>
  </si>
  <si>
    <t>221 E. South Front St.</t>
  </si>
  <si>
    <t>68801-5952</t>
  </si>
  <si>
    <t>308-395-9622</t>
  </si>
  <si>
    <t>Thor</t>
  </si>
  <si>
    <t>Larson</t>
  </si>
  <si>
    <t>YMCA of Hastings Nebraska</t>
  </si>
  <si>
    <t>1430 W. 16th St.</t>
  </si>
  <si>
    <t>68901-2958</t>
  </si>
  <si>
    <t>402-463-3139</t>
  </si>
  <si>
    <t>Krings</t>
  </si>
  <si>
    <t>YMCA of Lincoln Nebraska</t>
  </si>
  <si>
    <t>216 N. 11th St. Ste. 400</t>
  </si>
  <si>
    <t>68508-1401</t>
  </si>
  <si>
    <t>402-434-9205</t>
  </si>
  <si>
    <t>Bettin</t>
  </si>
  <si>
    <t>YMCA of the Prairie</t>
  </si>
  <si>
    <t>PO Box 618</t>
  </si>
  <si>
    <t>308-995-4050</t>
  </si>
  <si>
    <t>Morgan</t>
  </si>
  <si>
    <t>Ed Thomas YMCA</t>
  </si>
  <si>
    <t>PO Box 408</t>
  </si>
  <si>
    <t>308-345-6228</t>
  </si>
  <si>
    <t>Gonzales</t>
  </si>
  <si>
    <t>YMCA of Norfolk Nebraska</t>
  </si>
  <si>
    <t>301 W Benjamin Ave.</t>
  </si>
  <si>
    <t>68701-2910</t>
  </si>
  <si>
    <t>402-371-9770</t>
  </si>
  <si>
    <t>Hagedorn</t>
  </si>
  <si>
    <t>Blair Family YMCA</t>
  </si>
  <si>
    <t>1278 Wilbur St</t>
  </si>
  <si>
    <t>402-533-9622</t>
  </si>
  <si>
    <t>Exec Dir</t>
  </si>
  <si>
    <t>YMCA of Greater Omaha</t>
  </si>
  <si>
    <t>430 S 20th St</t>
  </si>
  <si>
    <t>402-977-4300</t>
  </si>
  <si>
    <t>Louie</t>
  </si>
  <si>
    <t>Scottsbluff Family YMCA</t>
  </si>
  <si>
    <t>PO Box 2423</t>
  </si>
  <si>
    <t>308-635-2318</t>
  </si>
  <si>
    <t>Behling</t>
  </si>
  <si>
    <t>YMCA of Southern Nevada</t>
  </si>
  <si>
    <t>4141 Meadows Lane</t>
  </si>
  <si>
    <t>89107-3105</t>
  </si>
  <si>
    <t>702-877-9622</t>
  </si>
  <si>
    <t>Lubbe</t>
  </si>
  <si>
    <t>YMCA of the Sierra</t>
  </si>
  <si>
    <t>850 Baring Blvd</t>
  </si>
  <si>
    <t>Sparks</t>
  </si>
  <si>
    <t>775-323-9622</t>
  </si>
  <si>
    <t>Lieske</t>
  </si>
  <si>
    <t>YMCA Camp Belknap Inc.</t>
  </si>
  <si>
    <t>Box 1546</t>
  </si>
  <si>
    <t>603-569-3475</t>
  </si>
  <si>
    <t>North County YMCA Inc.</t>
  </si>
  <si>
    <t>PO Box 123</t>
  </si>
  <si>
    <t>03740-0123</t>
  </si>
  <si>
    <t>603-747-3508</t>
  </si>
  <si>
    <t>Dianne</t>
  </si>
  <si>
    <t>Rappa</t>
  </si>
  <si>
    <t>Carroll County YMCA/Camp Huckins</t>
  </si>
  <si>
    <t>17 Camp Huckins Rd</t>
  </si>
  <si>
    <t>03836-4403</t>
  </si>
  <si>
    <t>603-539-4710</t>
  </si>
  <si>
    <t>Judith</t>
  </si>
  <si>
    <t>Snell</t>
  </si>
  <si>
    <t>Cheshire County YMCA</t>
  </si>
  <si>
    <t>PO Box 647</t>
  </si>
  <si>
    <t>03431-2418</t>
  </si>
  <si>
    <t>603-352-0447</t>
  </si>
  <si>
    <t>Lantz</t>
  </si>
  <si>
    <t>Concord Family YMCA</t>
  </si>
  <si>
    <t>15 N State St</t>
  </si>
  <si>
    <t>603-228-9622</t>
  </si>
  <si>
    <t>Doremus</t>
  </si>
  <si>
    <t>Keene Family YMCA</t>
  </si>
  <si>
    <t>38 Roxbury St.</t>
  </si>
  <si>
    <t>03431-3265</t>
  </si>
  <si>
    <t>603-352-6002</t>
  </si>
  <si>
    <t>Ira</t>
  </si>
  <si>
    <t>Besdansky</t>
  </si>
  <si>
    <t>YMCA of Greater Manchester</t>
  </si>
  <si>
    <t>30 Mechanic St</t>
  </si>
  <si>
    <t>603-623-3558</t>
  </si>
  <si>
    <t>Hal</t>
  </si>
  <si>
    <t>President and CEO</t>
  </si>
  <si>
    <t>YMCA of Nashua</t>
  </si>
  <si>
    <t>6 Henry Clay Dr</t>
  </si>
  <si>
    <t>603-598-1533</t>
  </si>
  <si>
    <t>LaChance</t>
  </si>
  <si>
    <t>Seacoast YMCA</t>
  </si>
  <si>
    <t>550 Peverly Hill Road</t>
  </si>
  <si>
    <t>603-431-2334</t>
  </si>
  <si>
    <t>Nappo</t>
  </si>
  <si>
    <t>Southern District YMCA/Camp Lincoln Inc.</t>
  </si>
  <si>
    <t>PO Box 729</t>
  </si>
  <si>
    <t>603-642-3361</t>
  </si>
  <si>
    <t>McGregor</t>
  </si>
  <si>
    <t>Bayonne Family YMCA</t>
  </si>
  <si>
    <t>259 Avenue E</t>
  </si>
  <si>
    <t>201-339-2330</t>
  </si>
  <si>
    <t>Keohane</t>
  </si>
  <si>
    <t>Burlington County YMCA</t>
  </si>
  <si>
    <t>5001 Centerton Rd</t>
  </si>
  <si>
    <t>856-234-6200</t>
  </si>
  <si>
    <t>Kerrihard</t>
  </si>
  <si>
    <t>Camden County Metropolitan YMCA</t>
  </si>
  <si>
    <t>PO Box 609</t>
  </si>
  <si>
    <t>Cherry Hill</t>
  </si>
  <si>
    <t>609-841-2727</t>
  </si>
  <si>
    <t>Jayne</t>
  </si>
  <si>
    <t>Miller Morgan</t>
  </si>
  <si>
    <t>Executive VP/CEO</t>
  </si>
  <si>
    <t>Camp Ralph S. Mason YMCA</t>
  </si>
  <si>
    <t>23 Birch Ridge Rd</t>
  </si>
  <si>
    <t>07825-9502</t>
  </si>
  <si>
    <t>908-362-8217</t>
  </si>
  <si>
    <t>DeLuca</t>
  </si>
  <si>
    <t>YMCA of Eastern Union County</t>
  </si>
  <si>
    <t>135 Madison Ave.</t>
  </si>
  <si>
    <t>07201-2420</t>
  </si>
  <si>
    <t>908-355-9622</t>
  </si>
  <si>
    <t>Canady</t>
  </si>
  <si>
    <t>Fanwood-Scotch Plains YMCA</t>
  </si>
  <si>
    <t>1340 Martin Ave</t>
  </si>
  <si>
    <t>908-889-1999</t>
  </si>
  <si>
    <t>Karin</t>
  </si>
  <si>
    <t>Dreixler</t>
  </si>
  <si>
    <t>YMCA of Western Monmouth County</t>
  </si>
  <si>
    <t>470 E Freehold Road</t>
  </si>
  <si>
    <t>732-462-0464</t>
  </si>
  <si>
    <t>Cynthia</t>
  </si>
  <si>
    <t>Joy</t>
  </si>
  <si>
    <t>Gloucester County YMCA</t>
  </si>
  <si>
    <t>235 E Red Bank Ave</t>
  </si>
  <si>
    <t>856-845-0720</t>
  </si>
  <si>
    <t>YMCA of Greater Bergen County</t>
  </si>
  <si>
    <t>360 Main St</t>
  </si>
  <si>
    <t>201-487-6600</t>
  </si>
  <si>
    <t>Louis</t>
  </si>
  <si>
    <t>Meadowlands Area YMCA</t>
  </si>
  <si>
    <t>436 Ridge Rd</t>
  </si>
  <si>
    <t>07031-0252</t>
  </si>
  <si>
    <t>201-955-5300</t>
  </si>
  <si>
    <t>Egan</t>
  </si>
  <si>
    <t>Wyckoff Family YMCA Inc.</t>
  </si>
  <si>
    <t>PO Box 203</t>
  </si>
  <si>
    <t>201-891-2081</t>
  </si>
  <si>
    <t>Vottero</t>
  </si>
  <si>
    <t>Hoboken-North Hudson YMCA</t>
  </si>
  <si>
    <t>1301 Washington St.</t>
  </si>
  <si>
    <t>07030-5557</t>
  </si>
  <si>
    <t>201-963-4100</t>
  </si>
  <si>
    <t>Gallanty</t>
  </si>
  <si>
    <t>Hunterdon County YMCA</t>
  </si>
  <si>
    <t>1410 Rt 22</t>
  </si>
  <si>
    <t>908-236-7879</t>
  </si>
  <si>
    <t>Lakeland Hills Family YMCA</t>
  </si>
  <si>
    <t>100 Fanny Rd.</t>
  </si>
  <si>
    <t>07046-1021</t>
  </si>
  <si>
    <t>973-334-2820</t>
  </si>
  <si>
    <t>McCrudden</t>
  </si>
  <si>
    <t>YMCA of Madison NJ</t>
  </si>
  <si>
    <t>111 Kings Road</t>
  </si>
  <si>
    <t>973-822-9622</t>
  </si>
  <si>
    <t>Kroll</t>
  </si>
  <si>
    <t>Camp Ockanickon YMCA</t>
  </si>
  <si>
    <t>1303 Stokes Road</t>
  </si>
  <si>
    <t>609-654-8225</t>
  </si>
  <si>
    <t>Rapine</t>
  </si>
  <si>
    <t>Hamilton Family YMCA</t>
  </si>
  <si>
    <t>1315 Whitehorse Mercerville Rd</t>
  </si>
  <si>
    <t>609-581-9622</t>
  </si>
  <si>
    <t>Fell</t>
  </si>
  <si>
    <t>Camp Speers-Eljabar YMCA</t>
  </si>
  <si>
    <t>RR 1 Box 89</t>
  </si>
  <si>
    <t>Dingmans Ferry</t>
  </si>
  <si>
    <t>570-828-2329</t>
  </si>
  <si>
    <t>Cherie</t>
  </si>
  <si>
    <t>Hopewell Valley YMCA</t>
  </si>
  <si>
    <t>PO Box 301</t>
  </si>
  <si>
    <t>08534-3048</t>
  </si>
  <si>
    <t>609-737-3048</t>
  </si>
  <si>
    <t>Pszczolkowski</t>
  </si>
  <si>
    <t>Princeton YMCA/YWCA</t>
  </si>
  <si>
    <t>59 Paul Robeson Place</t>
  </si>
  <si>
    <t>609-497-9622</t>
  </si>
  <si>
    <t>Kate</t>
  </si>
  <si>
    <t>Bech</t>
  </si>
  <si>
    <t>South Brunswick Family YMCA</t>
  </si>
  <si>
    <t>329 Culver Rd</t>
  </si>
  <si>
    <t>732.329.1150</t>
  </si>
  <si>
    <t>Libassi</t>
  </si>
  <si>
    <t>Metuchen Edison Woodbridge YMCA</t>
  </si>
  <si>
    <t>9 Calvin Pl</t>
  </si>
  <si>
    <t>732-516-9200</t>
  </si>
  <si>
    <t>Lovett</t>
  </si>
  <si>
    <t>YMCA of Montclair</t>
  </si>
  <si>
    <t>25 Park St</t>
  </si>
  <si>
    <t>973-744-3400</t>
  </si>
  <si>
    <t>Boyton</t>
  </si>
  <si>
    <t>Frost Valley YMCA</t>
  </si>
  <si>
    <t>2000 Frost Valley Rd</t>
  </si>
  <si>
    <t>845-985-2291</t>
  </si>
  <si>
    <t>Huncosky</t>
  </si>
  <si>
    <t>West Morris Area YMCA</t>
  </si>
  <si>
    <t>14 Dover Chester Road</t>
  </si>
  <si>
    <t>973-366-1120</t>
  </si>
  <si>
    <t>Lamia</t>
  </si>
  <si>
    <t>Morris Center YMCA</t>
  </si>
  <si>
    <t>79 Horse Hill Road</t>
  </si>
  <si>
    <t>973-267-0704</t>
  </si>
  <si>
    <t>Armour</t>
  </si>
  <si>
    <t>YM/WCA Newark &amp; Vicinity</t>
  </si>
  <si>
    <t>600 Broad St</t>
  </si>
  <si>
    <t>973-624-8900 x6814</t>
  </si>
  <si>
    <t>Shinhoster</t>
  </si>
  <si>
    <t>Metro YMCA of the Oranges</t>
  </si>
  <si>
    <t>139 E McClellan Ave</t>
  </si>
  <si>
    <t>973-758-9622</t>
  </si>
  <si>
    <t>Gorab</t>
  </si>
  <si>
    <t>YMCA of Passaic-Clifton</t>
  </si>
  <si>
    <t>45 River Dr.</t>
  </si>
  <si>
    <t>07055-5713</t>
  </si>
  <si>
    <t>973-777-0123</t>
  </si>
  <si>
    <t>Russell, III</t>
  </si>
  <si>
    <t>YMCA of Garfield</t>
  </si>
  <si>
    <t>33 Outwater LN</t>
  </si>
  <si>
    <t>Garfield</t>
  </si>
  <si>
    <t>973-772-7450</t>
  </si>
  <si>
    <t>Pat</t>
  </si>
  <si>
    <t>Gallagher</t>
  </si>
  <si>
    <t>YMCA of Paterson</t>
  </si>
  <si>
    <t>128 Ward St</t>
  </si>
  <si>
    <t>973-684-2320</t>
  </si>
  <si>
    <t>Vanessa</t>
  </si>
  <si>
    <t>Paynter</t>
  </si>
  <si>
    <t>Ocean County YMCA</t>
  </si>
  <si>
    <t>1088 W. Whitty Rd.</t>
  </si>
  <si>
    <t>08755-3278</t>
  </si>
  <si>
    <t>732-341-9622</t>
  </si>
  <si>
    <t>Rodger</t>
  </si>
  <si>
    <t>Koerber</t>
  </si>
  <si>
    <t>Raritan Bay Area YMCA</t>
  </si>
  <si>
    <t>365 New Brunswick Ave</t>
  </si>
  <si>
    <t>08861-4106</t>
  </si>
  <si>
    <t>732-442-3632</t>
  </si>
  <si>
    <t>Jobin</t>
  </si>
  <si>
    <t>Plainfield Area YMCA</t>
  </si>
  <si>
    <t>518 Watchung Ave.</t>
  </si>
  <si>
    <t>07060-1721</t>
  </si>
  <si>
    <t>908-756-6060</t>
  </si>
  <si>
    <t>Ravenell</t>
  </si>
  <si>
    <t>Raritan Valley YMCA</t>
  </si>
  <si>
    <t>144 Tices Ln</t>
  </si>
  <si>
    <t>08816-2014</t>
  </si>
  <si>
    <t>732-257-4114</t>
  </si>
  <si>
    <t>Gina</t>
  </si>
  <si>
    <t>Stravic</t>
  </si>
  <si>
    <t>The Community YMCA</t>
  </si>
  <si>
    <t>113 Tindall Rd</t>
  </si>
  <si>
    <t>732.671.5505 ext. 10</t>
  </si>
  <si>
    <t>Laermer</t>
  </si>
  <si>
    <t>YMCA of Ridgewood</t>
  </si>
  <si>
    <t>55 N Broad St.</t>
  </si>
  <si>
    <t>201-444-5600; 201-881-1710 (YW)</t>
  </si>
  <si>
    <t>Claydon</t>
  </si>
  <si>
    <t>CEO, Monica Roers YW CEO</t>
  </si>
  <si>
    <t>Salem County YMCA</t>
  </si>
  <si>
    <t>204 Shell Rd.</t>
  </si>
  <si>
    <t>856-299-1493</t>
  </si>
  <si>
    <t>Louise</t>
  </si>
  <si>
    <t>Foley</t>
  </si>
  <si>
    <t>Somerset Hills YMCA</t>
  </si>
  <si>
    <t>140 Mount Airy Rd</t>
  </si>
  <si>
    <t>908-766-5770 x110</t>
  </si>
  <si>
    <t>Lomauro</t>
  </si>
  <si>
    <t>Somerset Valley YMCA</t>
  </si>
  <si>
    <t>2 Green Street</t>
  </si>
  <si>
    <t>908-722-4567</t>
  </si>
  <si>
    <t>Kieltyka</t>
  </si>
  <si>
    <t>YMCA of Summit NJ</t>
  </si>
  <si>
    <t>490 Morris Ave</t>
  </si>
  <si>
    <t>908-273-4270</t>
  </si>
  <si>
    <t>Trenton Area Family YMCA</t>
  </si>
  <si>
    <t>431 Pennington Ave.</t>
  </si>
  <si>
    <t>609-599-9622</t>
  </si>
  <si>
    <t>Kelemen</t>
  </si>
  <si>
    <t>Cumberland Cape Atlantic YMCA</t>
  </si>
  <si>
    <t>1159 E Landis Ave</t>
  </si>
  <si>
    <t>856-691-0030</t>
  </si>
  <si>
    <t>Steinbronn</t>
  </si>
  <si>
    <t>YMCA of Westfield</t>
  </si>
  <si>
    <t>220 Clark St.</t>
  </si>
  <si>
    <t>07090-4029</t>
  </si>
  <si>
    <t>908-233-2700</t>
  </si>
  <si>
    <t>Elsasser</t>
  </si>
  <si>
    <t>YMCA of Central New Mexico</t>
  </si>
  <si>
    <t>912 1st Street NW</t>
  </si>
  <si>
    <t>505-881-4787</t>
  </si>
  <si>
    <t>Nakashima</t>
  </si>
  <si>
    <t>The Family YMCA</t>
  </si>
  <si>
    <t>1450 Iris St.</t>
  </si>
  <si>
    <t>505-662-3100</t>
  </si>
  <si>
    <t>Daly</t>
  </si>
  <si>
    <t>Amsterdam YMCA</t>
  </si>
  <si>
    <t>PO Box 280</t>
  </si>
  <si>
    <t>12010-4304</t>
  </si>
  <si>
    <t>518-842-2130</t>
  </si>
  <si>
    <t>Allyson</t>
  </si>
  <si>
    <t>Auburn YMCA-WEIU</t>
  </si>
  <si>
    <t>27 William St.</t>
  </si>
  <si>
    <t>13021-3786</t>
  </si>
  <si>
    <t>315-253-5304</t>
  </si>
  <si>
    <t>Courtney</t>
  </si>
  <si>
    <t>Genesee Area Family YMCA</t>
  </si>
  <si>
    <t>209 E. Main St.</t>
  </si>
  <si>
    <t>14020-2205</t>
  </si>
  <si>
    <t>716-344-1664</t>
  </si>
  <si>
    <t>Wess</t>
  </si>
  <si>
    <t>Audsley</t>
  </si>
  <si>
    <t>Broome County YMCA</t>
  </si>
  <si>
    <t>61 Susquehanna St.</t>
  </si>
  <si>
    <t>13901-3705</t>
  </si>
  <si>
    <t>607-772-8984</t>
  </si>
  <si>
    <t>Peterson</t>
  </si>
  <si>
    <t>YMCA of Buffalo Niagara</t>
  </si>
  <si>
    <t>280 Cayuga Rd.</t>
  </si>
  <si>
    <t>716-565-6000</t>
  </si>
  <si>
    <t>Murray</t>
  </si>
  <si>
    <t>Camp Dudley YMCA Inc.</t>
  </si>
  <si>
    <t>RR 1, Box 1034 Dudley Rd.</t>
  </si>
  <si>
    <t>518-962-4720</t>
  </si>
  <si>
    <t>Bisselle</t>
  </si>
  <si>
    <t>Greater Canandaigua Family YMCA</t>
  </si>
  <si>
    <t>32 N Main St</t>
  </si>
  <si>
    <t>585-394-6866</t>
  </si>
  <si>
    <t>O'Shaughnessy</t>
  </si>
  <si>
    <t>Clifton Springs YMCA</t>
  </si>
  <si>
    <t>PO Box 222</t>
  </si>
  <si>
    <t>14432-1003</t>
  </si>
  <si>
    <t>315-462-6184</t>
  </si>
  <si>
    <t>Husk</t>
  </si>
  <si>
    <t>Cortland County Family YMCA</t>
  </si>
  <si>
    <t>22 Tompkins St</t>
  </si>
  <si>
    <t>607-756-2893</t>
  </si>
  <si>
    <t>Donald</t>
  </si>
  <si>
    <t>Kline</t>
  </si>
  <si>
    <t>Corning Community YMCA</t>
  </si>
  <si>
    <t>127 Centerway</t>
  </si>
  <si>
    <t>14830-2262</t>
  </si>
  <si>
    <t>607-936-4638</t>
  </si>
  <si>
    <t>Carla</t>
  </si>
  <si>
    <t>Vossler</t>
  </si>
  <si>
    <t>Mohawk Valley YMCA</t>
  </si>
  <si>
    <t>83 E Main St.</t>
  </si>
  <si>
    <t>13407-1193</t>
  </si>
  <si>
    <t>315-866-6570</t>
  </si>
  <si>
    <t>Chemung County YMCA</t>
  </si>
  <si>
    <t>425 Pennsylvania Ave.</t>
  </si>
  <si>
    <t>14904-1762</t>
  </si>
  <si>
    <t>607-733-7656</t>
  </si>
  <si>
    <t>Micelotta</t>
  </si>
  <si>
    <t>Fulton Family YMCA</t>
  </si>
  <si>
    <t>715 West Broadway</t>
  </si>
  <si>
    <t>315-598-9622</t>
  </si>
  <si>
    <t>Betty</t>
  </si>
  <si>
    <t>Fadden</t>
  </si>
  <si>
    <t>Geneva Family YMCA</t>
  </si>
  <si>
    <t>399 William St.</t>
  </si>
  <si>
    <t>14456-2115</t>
  </si>
  <si>
    <t>315-789-1616</t>
  </si>
  <si>
    <t>Robbins</t>
  </si>
  <si>
    <t>YMCA of Glens Falls Area</t>
  </si>
  <si>
    <t>600 Upper Glen St</t>
  </si>
  <si>
    <t>518-793-3878</t>
  </si>
  <si>
    <t>Kisselbeck</t>
  </si>
  <si>
    <t>Silver Bay YMCA of the Adirondacks</t>
  </si>
  <si>
    <t>87 Silver Bay Rd</t>
  </si>
  <si>
    <t>518-543-8833</t>
  </si>
  <si>
    <t>Kisselback</t>
  </si>
  <si>
    <t>Hornell Area Family YMCA</t>
  </si>
  <si>
    <t>12 Center St</t>
  </si>
  <si>
    <t>607-324-5520</t>
  </si>
  <si>
    <t>Ithaca &amp; Tompkins County YMCA</t>
  </si>
  <si>
    <t>Graham Rd. West</t>
  </si>
  <si>
    <t>607-257-0101</t>
  </si>
  <si>
    <t>Grennell</t>
  </si>
  <si>
    <t>Jamestown Family YMCA</t>
  </si>
  <si>
    <t>101 East 4th St</t>
  </si>
  <si>
    <t>716-664-2802</t>
  </si>
  <si>
    <t>Eckendorf</t>
  </si>
  <si>
    <t>YMCA of Kingston and Ulster County</t>
  </si>
  <si>
    <t>507 Broadway</t>
  </si>
  <si>
    <t>845-338-3810</t>
  </si>
  <si>
    <t>Little Falls YMCA</t>
  </si>
  <si>
    <t>15 Jackson St.</t>
  </si>
  <si>
    <t>13365-1417</t>
  </si>
  <si>
    <t>315-823-1740</t>
  </si>
  <si>
    <t>Anthony</t>
  </si>
  <si>
    <t>Deluca</t>
  </si>
  <si>
    <t>Lockport YMCA</t>
  </si>
  <si>
    <t>19 East Ave.</t>
  </si>
  <si>
    <t>14094-3707</t>
  </si>
  <si>
    <t>716-434-8887</t>
  </si>
  <si>
    <t>Albiez</t>
  </si>
  <si>
    <t>Lake Plains Family YMCA</t>
  </si>
  <si>
    <t>306 Pearl St.</t>
  </si>
  <si>
    <t>14103-1135</t>
  </si>
  <si>
    <t>585-798-2040</t>
  </si>
  <si>
    <t>Payne</t>
  </si>
  <si>
    <t>YMCA of Middletown, NY</t>
  </si>
  <si>
    <t>81 Highland Ave</t>
  </si>
  <si>
    <t>845-344-9622</t>
  </si>
  <si>
    <t>Grant</t>
  </si>
  <si>
    <t>YMCA of Long Island</t>
  </si>
  <si>
    <t>121 Dosoris Ln</t>
  </si>
  <si>
    <t>516-674-8091</t>
  </si>
  <si>
    <t>Famiglietti</t>
  </si>
  <si>
    <t>YMCA of Newburgh</t>
  </si>
  <si>
    <t>10 Little Britain Road, Suite 204</t>
  </si>
  <si>
    <t>845-562-1088</t>
  </si>
  <si>
    <t>Trish</t>
  </si>
  <si>
    <t>New Rochelle YMCA</t>
  </si>
  <si>
    <t>50 Weyman Ave.</t>
  </si>
  <si>
    <t>10805-1411</t>
  </si>
  <si>
    <t>914-632-1818</t>
  </si>
  <si>
    <t>Jeffrey</t>
  </si>
  <si>
    <t>Krause</t>
  </si>
  <si>
    <t>YMCA of Greater New York</t>
  </si>
  <si>
    <t>5 W 63rd St. 6th Floor</t>
  </si>
  <si>
    <t>212-630-9600</t>
  </si>
  <si>
    <t>Lund Jr</t>
  </si>
  <si>
    <t>Norwich YMCA</t>
  </si>
  <si>
    <t>68-70 N. Broad St.</t>
  </si>
  <si>
    <t>13815-1398</t>
  </si>
  <si>
    <t>607-336-9622</t>
  </si>
  <si>
    <t>Mullen</t>
  </si>
  <si>
    <t>Olean YMCA</t>
  </si>
  <si>
    <t>1101 Wayne St.</t>
  </si>
  <si>
    <t>14760-3696</t>
  </si>
  <si>
    <t>716-373-2400</t>
  </si>
  <si>
    <t>Jake</t>
  </si>
  <si>
    <t>Steger</t>
  </si>
  <si>
    <t>Oneonta Family YMCA</t>
  </si>
  <si>
    <t>20-26 Ford Ave.</t>
  </si>
  <si>
    <t>13820-1818</t>
  </si>
  <si>
    <t>607-432-0011</t>
  </si>
  <si>
    <t>Laurie</t>
  </si>
  <si>
    <t>Zimniewicz</t>
  </si>
  <si>
    <t>Oswego YMCA</t>
  </si>
  <si>
    <t>249 W. 1st St.</t>
  </si>
  <si>
    <t>13126-3003</t>
  </si>
  <si>
    <t>315-343-1981</t>
  </si>
  <si>
    <t>Deana</t>
  </si>
  <si>
    <t>Masuicca</t>
  </si>
  <si>
    <t>Plattsburgh YMCA</t>
  </si>
  <si>
    <t>17 Oak St.</t>
  </si>
  <si>
    <t>12901-2810</t>
  </si>
  <si>
    <t>518-561-4290</t>
  </si>
  <si>
    <t>Kileen</t>
  </si>
  <si>
    <t>Dutchess County YMCA</t>
  </si>
  <si>
    <t>85 Cannon Street</t>
  </si>
  <si>
    <t>845-471-9630</t>
  </si>
  <si>
    <t>YMCA of Greater Rochester</t>
  </si>
  <si>
    <t>444 East Main St</t>
  </si>
  <si>
    <t>585-546-5500</t>
  </si>
  <si>
    <t>Rommell</t>
  </si>
  <si>
    <t>Rockland County YMCA</t>
  </si>
  <si>
    <t>35 S. Broadway</t>
  </si>
  <si>
    <t>845-358-0219</t>
  </si>
  <si>
    <t>Maze</t>
  </si>
  <si>
    <t>YMCA of the Greater Tri-Valley</t>
  </si>
  <si>
    <t>PO Box 510</t>
  </si>
  <si>
    <t>13442-0510</t>
  </si>
  <si>
    <t>315-336-3500</t>
  </si>
  <si>
    <t>Hank</t>
  </si>
  <si>
    <t>Leo</t>
  </si>
  <si>
    <t>YMCA of Rye</t>
  </si>
  <si>
    <t>21 Locust Ave</t>
  </si>
  <si>
    <t>914-967-6363</t>
  </si>
  <si>
    <t>Howells</t>
  </si>
  <si>
    <t>YMCA of Saratoga Springs</t>
  </si>
  <si>
    <t>PO Box 4610</t>
  </si>
  <si>
    <t>518-583-9622</t>
  </si>
  <si>
    <t>Letts</t>
  </si>
  <si>
    <t>YMCA of Capital District</t>
  </si>
  <si>
    <t>465 New Karner Rd. 2nd Floor</t>
  </si>
  <si>
    <t>518-869-3500</t>
  </si>
  <si>
    <t>Greater Syracuse YMCA</t>
  </si>
  <si>
    <t>340 Montgomery St</t>
  </si>
  <si>
    <t>315-474-0784</t>
  </si>
  <si>
    <t>Welsh</t>
  </si>
  <si>
    <t>Tarrytown and North Tarrytown</t>
  </si>
  <si>
    <t>62 Main St</t>
  </si>
  <si>
    <t>Tarrytown</t>
  </si>
  <si>
    <t>73942-1428</t>
  </si>
  <si>
    <t>914-631-4807</t>
  </si>
  <si>
    <t>Gerry</t>
  </si>
  <si>
    <t>Riera</t>
  </si>
  <si>
    <t>Fulton County YMCA</t>
  </si>
  <si>
    <t>19 E. Fulton</t>
  </si>
  <si>
    <t>12078-3210</t>
  </si>
  <si>
    <t>518-725-0627</t>
  </si>
  <si>
    <t>Serge</t>
  </si>
  <si>
    <t>Watertown Family YMCA</t>
  </si>
  <si>
    <t>119 Washington St.</t>
  </si>
  <si>
    <t>315-782-3100</t>
  </si>
  <si>
    <t>Schmitt</t>
  </si>
  <si>
    <t>Camp Sloane YMCA Inc.</t>
  </si>
  <si>
    <t>124 Indian Mountain Road</t>
  </si>
  <si>
    <t>860-435-2557</t>
  </si>
  <si>
    <t>Bear</t>
  </si>
  <si>
    <t>Bryant</t>
  </si>
  <si>
    <t>YMCA of Central &amp; Northern Westchester Inc.</t>
  </si>
  <si>
    <t>250 Mamaroneck Avenue</t>
  </si>
  <si>
    <t>914-949-8030</t>
  </si>
  <si>
    <t>Lapp</t>
  </si>
  <si>
    <t>YMCA of Yonkers Inc.</t>
  </si>
  <si>
    <t>17 Riverdale Ave.</t>
  </si>
  <si>
    <t>914-963-0183</t>
  </si>
  <si>
    <t>Shawyn</t>
  </si>
  <si>
    <t>YMCA of Asheboro NC Inc.</t>
  </si>
  <si>
    <t>PO Box 1152</t>
  </si>
  <si>
    <t>336-625-1976</t>
  </si>
  <si>
    <t>O'Hara</t>
  </si>
  <si>
    <t>Blue Ridge Assembly YMCA</t>
  </si>
  <si>
    <t>84 Blue Ridge Circle</t>
  </si>
  <si>
    <t>828-669-8422</t>
  </si>
  <si>
    <t>Hibbard</t>
  </si>
  <si>
    <t>Stanly County Family YMCA</t>
  </si>
  <si>
    <t>427 N. 1st St.</t>
  </si>
  <si>
    <t>704-982-1916</t>
  </si>
  <si>
    <t>Lowder</t>
  </si>
  <si>
    <t>YMCA of Western North Carolina</t>
  </si>
  <si>
    <t>53 Asheland Ave, Ste 105</t>
  </si>
  <si>
    <t>828-251-5909</t>
  </si>
  <si>
    <t>Vest</t>
  </si>
  <si>
    <t>Alamance County Community YMCA</t>
  </si>
  <si>
    <t>1346 S Main St</t>
  </si>
  <si>
    <t>336-227-2061</t>
  </si>
  <si>
    <t>JAlston</t>
  </si>
  <si>
    <t>Walter</t>
  </si>
  <si>
    <t>Britt</t>
  </si>
  <si>
    <t>Chapel Hill-Carrboro YMCA</t>
  </si>
  <si>
    <t>980 Airport Road</t>
  </si>
  <si>
    <t>919-942-5156</t>
  </si>
  <si>
    <t>MBOrmiston</t>
  </si>
  <si>
    <t>Whortan</t>
  </si>
  <si>
    <t>YMCA of Greater Charlotte</t>
  </si>
  <si>
    <t>500 E. Morehead St, Ste. 300</t>
  </si>
  <si>
    <t>28202-2606</t>
  </si>
  <si>
    <t>704-716-6200</t>
  </si>
  <si>
    <t>Calhoun</t>
  </si>
  <si>
    <t>Cleveland County Family YMCA</t>
  </si>
  <si>
    <t>411 Cherryville Rd</t>
  </si>
  <si>
    <t>704-484-9622</t>
  </si>
  <si>
    <t>Corder</t>
  </si>
  <si>
    <t>Fayetteville YMCA</t>
  </si>
  <si>
    <t>2717 Fort Bragg Rd.</t>
  </si>
  <si>
    <t>28303-4720</t>
  </si>
  <si>
    <t>910-323-0800</t>
  </si>
  <si>
    <t>Houp</t>
  </si>
  <si>
    <t>Gaston County Family YMCA</t>
  </si>
  <si>
    <t>201 S. Clay St.</t>
  </si>
  <si>
    <t>704-865-8551</t>
  </si>
  <si>
    <t>Sigmon</t>
  </si>
  <si>
    <t>Goldsboro Family YMCA</t>
  </si>
  <si>
    <t>PO Box 10355</t>
  </si>
  <si>
    <t>919-778-8557</t>
  </si>
  <si>
    <t>Richards</t>
  </si>
  <si>
    <t>Greensboro Metro YMCA</t>
  </si>
  <si>
    <t>620 Green Valley Road, Suite 210</t>
  </si>
  <si>
    <t>336-854-8410</t>
  </si>
  <si>
    <t>Wilson Family YMCA</t>
  </si>
  <si>
    <t>3436 Airport Blvd</t>
  </si>
  <si>
    <t>252-291-9622</t>
  </si>
  <si>
    <t>Kathryn</t>
  </si>
  <si>
    <t>Davis</t>
  </si>
  <si>
    <t>Henderson County YMCA</t>
  </si>
  <si>
    <t>810 6th Ave W</t>
  </si>
  <si>
    <t>828-692-5774</t>
  </si>
  <si>
    <t>Op. Manager-Mgt Agreement</t>
  </si>
  <si>
    <t>Henderson Family YMCA</t>
  </si>
  <si>
    <t>380 Ruin Creek Rd</t>
  </si>
  <si>
    <t>252-438-2144</t>
  </si>
  <si>
    <t>Woody</t>
  </si>
  <si>
    <t>Caudle</t>
  </si>
  <si>
    <t>YMCA of Greater High Point</t>
  </si>
  <si>
    <t>PO Box 6258</t>
  </si>
  <si>
    <t>336-869-0151</t>
  </si>
  <si>
    <t>Cannon Memorial YMCA</t>
  </si>
  <si>
    <t>PO Box 46</t>
  </si>
  <si>
    <t>28082-3358</t>
  </si>
  <si>
    <t>704-939-9622</t>
  </si>
  <si>
    <t>YMCA of Catawba Valley</t>
  </si>
  <si>
    <t>1375 Lenoir Rhyne Blvd. SE, Ste. 202</t>
  </si>
  <si>
    <t>828-324-9622</t>
  </si>
  <si>
    <t>DiCasolo</t>
  </si>
  <si>
    <t>Eden Family YMCA</t>
  </si>
  <si>
    <t>301 S. Kennedy St.</t>
  </si>
  <si>
    <t>27288-5001</t>
  </si>
  <si>
    <t>336-623-8496</t>
  </si>
  <si>
    <t>Mabe</t>
  </si>
  <si>
    <t>J. Smith Young Family YMCA</t>
  </si>
  <si>
    <t>PO Box 210</t>
  </si>
  <si>
    <t>27292-3023</t>
  </si>
  <si>
    <t>336-249-2177</t>
  </si>
  <si>
    <t>Phillip</t>
  </si>
  <si>
    <t>YMCA of the Triangle</t>
  </si>
  <si>
    <t>801 Corporate Center Dr. Ste 200</t>
  </si>
  <si>
    <t>27607-5073</t>
  </si>
  <si>
    <t>919.719.9622</t>
  </si>
  <si>
    <t>McMillan</t>
  </si>
  <si>
    <t>Twin Rivers YMCA</t>
  </si>
  <si>
    <t>100 YMCA Lane</t>
  </si>
  <si>
    <t>252-638-8799</t>
  </si>
  <si>
    <t>Shuart</t>
  </si>
  <si>
    <t>Garner Road YMCA</t>
  </si>
  <si>
    <t>PO Box 25697</t>
  </si>
  <si>
    <t>919-833-1256</t>
  </si>
  <si>
    <t>Joyner</t>
  </si>
  <si>
    <t>Reidsville YMCA</t>
  </si>
  <si>
    <t>504 S Main Street</t>
  </si>
  <si>
    <t>Reidsville</t>
  </si>
  <si>
    <t>336-342-3307</t>
  </si>
  <si>
    <t>Bottomley</t>
  </si>
  <si>
    <t>Rocky Mount Family YMCA Inc.</t>
  </si>
  <si>
    <t>PO Box 4063</t>
  </si>
  <si>
    <t>252.972.9622</t>
  </si>
  <si>
    <t>Rowan County YMCA</t>
  </si>
  <si>
    <t>215 Guffy St.</t>
  </si>
  <si>
    <t>704-216-9622</t>
  </si>
  <si>
    <t>YMCA of Iredell County</t>
  </si>
  <si>
    <t>828 Wesley Dr</t>
  </si>
  <si>
    <t>704-873-9622</t>
  </si>
  <si>
    <t>Marcheta</t>
  </si>
  <si>
    <t>Tom A. Finch YMCA</t>
  </si>
  <si>
    <t>1010 Mendenhall St</t>
  </si>
  <si>
    <t>27360-2546</t>
  </si>
  <si>
    <t>336-475-6125</t>
  </si>
  <si>
    <t>Tommy</t>
  </si>
  <si>
    <t>Hodges IV</t>
  </si>
  <si>
    <t>YMCA of Wilmington</t>
  </si>
  <si>
    <t>2710 Market St</t>
  </si>
  <si>
    <t>910-251-9622</t>
  </si>
  <si>
    <t>YMCA of Northwest North Carolina</t>
  </si>
  <si>
    <t>301 N Main Street, Ste 1900</t>
  </si>
  <si>
    <t>336-777-8055</t>
  </si>
  <si>
    <t>Curt</t>
  </si>
  <si>
    <t>Hazelbaker</t>
  </si>
  <si>
    <t>Bertie County YMCA</t>
  </si>
  <si>
    <t>PO Box 834</t>
  </si>
  <si>
    <t>27983-0834</t>
  </si>
  <si>
    <t>252-794-9622</t>
  </si>
  <si>
    <t>Heidi</t>
  </si>
  <si>
    <t>Bonislawski</t>
  </si>
  <si>
    <t>Missouri Valley Family YMCA</t>
  </si>
  <si>
    <t>PO Box 549</t>
  </si>
  <si>
    <t>701-255-1525</t>
  </si>
  <si>
    <t>Dahl</t>
  </si>
  <si>
    <t>YMCA of Avery County, NC</t>
  </si>
  <si>
    <t>PO Box 707</t>
  </si>
  <si>
    <t>828.737.5500</t>
  </si>
  <si>
    <t>Fargo-Moorhead Family YMCA</t>
  </si>
  <si>
    <t>400 1st Ave S</t>
  </si>
  <si>
    <t>701-293-9622</t>
  </si>
  <si>
    <t>Finstad</t>
  </si>
  <si>
    <t>YMCA of North Dakota State University</t>
  </si>
  <si>
    <t>PO Box 5512</t>
  </si>
  <si>
    <t>58105-5512</t>
  </si>
  <si>
    <t>701-235-8772</t>
  </si>
  <si>
    <t>Andrews</t>
  </si>
  <si>
    <t>Grand Forks YMCA Family Center</t>
  </si>
  <si>
    <t>Box 13177, Seventh &amp; Univ. Ave.</t>
  </si>
  <si>
    <t>701-775-2586</t>
  </si>
  <si>
    <t>Debbie</t>
  </si>
  <si>
    <t>James River Family YMCA</t>
  </si>
  <si>
    <t>918 7th St. NE</t>
  </si>
  <si>
    <t>58401-3400</t>
  </si>
  <si>
    <t>701-253-4101</t>
  </si>
  <si>
    <t>YMCA of Minot North Dakota</t>
  </si>
  <si>
    <t>PO Box 69</t>
  </si>
  <si>
    <t>701-852-0141</t>
  </si>
  <si>
    <t>Mazurek</t>
  </si>
  <si>
    <t>Akron Area YMCA</t>
  </si>
  <si>
    <t>209 S Main St Suite 501</t>
  </si>
  <si>
    <t>330-376-1335</t>
  </si>
  <si>
    <t>Kohl</t>
  </si>
  <si>
    <t>Pike County YMCA</t>
  </si>
  <si>
    <t>400 Pride Dr</t>
  </si>
  <si>
    <t>740-947-8862</t>
  </si>
  <si>
    <t>Alliance YMCA</t>
  </si>
  <si>
    <t>205 S. Union Ave.</t>
  </si>
  <si>
    <t>44601-2537</t>
  </si>
  <si>
    <t>330-823-1930</t>
  </si>
  <si>
    <t>Nissley</t>
  </si>
  <si>
    <t>YMCA of Ashland Ohio</t>
  </si>
  <si>
    <t>207 Miller St.</t>
  </si>
  <si>
    <t>44805-2432</t>
  </si>
  <si>
    <t>419-289-0626</t>
  </si>
  <si>
    <t>Seiter</t>
  </si>
  <si>
    <t>YMCA-WCA of Ashtabula County Ohio</t>
  </si>
  <si>
    <t>263 W. Prospect Rd.</t>
  </si>
  <si>
    <t>44004-5841</t>
  </si>
  <si>
    <t>440-997-5321</t>
  </si>
  <si>
    <t>Carolynne</t>
  </si>
  <si>
    <t>Molnar</t>
  </si>
  <si>
    <t>YMCA of Bucyrus Ohio</t>
  </si>
  <si>
    <t>1655 E. Southern Ave.</t>
  </si>
  <si>
    <t>44820-3345</t>
  </si>
  <si>
    <t>419-562-6218</t>
  </si>
  <si>
    <t>Bruns</t>
  </si>
  <si>
    <t>Cambridge Area YMCA</t>
  </si>
  <si>
    <t>1301 Clairmont Ave</t>
  </si>
  <si>
    <t>740-432-4600</t>
  </si>
  <si>
    <t>Cowin</t>
  </si>
  <si>
    <t>YMCA of Central Stark County</t>
  </si>
  <si>
    <t>1201 30th St. NW, Suite 200</t>
  </si>
  <si>
    <t>330.491.9622</t>
  </si>
  <si>
    <t>Shetzer</t>
  </si>
  <si>
    <t>Auglaize-Mercer Counties Family YMCA</t>
  </si>
  <si>
    <t>7590 State Rte. 703</t>
  </si>
  <si>
    <t>45822-2919</t>
  </si>
  <si>
    <t>419-586-9622</t>
  </si>
  <si>
    <t>Allen</t>
  </si>
  <si>
    <t>Baskett</t>
  </si>
  <si>
    <t>YMCA of Ross County</t>
  </si>
  <si>
    <t>100 Mill Street</t>
  </si>
  <si>
    <t>740-772-4340</t>
  </si>
  <si>
    <t>Tener</t>
  </si>
  <si>
    <t>Don M and Margaret Hilliker YMCA</t>
  </si>
  <si>
    <t>300 Sloan Blvd.</t>
  </si>
  <si>
    <t>937-592-9622</t>
  </si>
  <si>
    <t>Melling</t>
  </si>
  <si>
    <t>YMCA of Greater Cincinnati</t>
  </si>
  <si>
    <t>1105 Elm St.</t>
  </si>
  <si>
    <t>45210-2213</t>
  </si>
  <si>
    <t>513-651-2100</t>
  </si>
  <si>
    <t>Sandy</t>
  </si>
  <si>
    <t>Berlin Walker</t>
  </si>
  <si>
    <t>YMCA of Greater Cleveland</t>
  </si>
  <si>
    <t>2200 Prospect Avenue, Suite 900</t>
  </si>
  <si>
    <t>216-344-0095</t>
  </si>
  <si>
    <t>Glenn</t>
  </si>
  <si>
    <t>Haley</t>
  </si>
  <si>
    <t>YMCA of Central Ohio</t>
  </si>
  <si>
    <t>40 W Long St</t>
  </si>
  <si>
    <t>614-224-1142, 614-573-3613</t>
  </si>
  <si>
    <t>Bickley</t>
  </si>
  <si>
    <t>YMCA of Greater Dayton</t>
  </si>
  <si>
    <t>111 W 1st St, Ste 207</t>
  </si>
  <si>
    <t>937-223-5201</t>
  </si>
  <si>
    <t>Helm</t>
  </si>
  <si>
    <t>Williams County Family YMCA</t>
  </si>
  <si>
    <t>One Farber Drive</t>
  </si>
  <si>
    <t>419-636-6185</t>
  </si>
  <si>
    <t>Holly</t>
  </si>
  <si>
    <t>Hanna</t>
  </si>
  <si>
    <t>Highland Area YMCA</t>
  </si>
  <si>
    <t>201 Diamond Drive</t>
  </si>
  <si>
    <t>937-840-9622</t>
  </si>
  <si>
    <t>Mull</t>
  </si>
  <si>
    <t>Fayette County YMCA</t>
  </si>
  <si>
    <t>100 Civic Drive</t>
  </si>
  <si>
    <t>740-335-0477</t>
  </si>
  <si>
    <t>Douglas</t>
  </si>
  <si>
    <t>Saunders</t>
  </si>
  <si>
    <t>Clinton County Community Family YMCA</t>
  </si>
  <si>
    <t>700 Elm St</t>
  </si>
  <si>
    <t>937-382-9622</t>
  </si>
  <si>
    <t>Hodge</t>
  </si>
  <si>
    <t>Drake</t>
  </si>
  <si>
    <t>Ralph J. Stolle Countryside YMCA of Warren Co.</t>
  </si>
  <si>
    <t>1699 Deerfield Road</t>
  </si>
  <si>
    <t>513-932-1424</t>
  </si>
  <si>
    <t>Carroll</t>
  </si>
  <si>
    <t>Defiance Area YMCA</t>
  </si>
  <si>
    <t>1599 Palmer Dr.</t>
  </si>
  <si>
    <t>43512-3484</t>
  </si>
  <si>
    <t>419-784-4747</t>
  </si>
  <si>
    <t>Kuhn</t>
  </si>
  <si>
    <t>Putnam County YMCA</t>
  </si>
  <si>
    <t>101 Putnam Parkway</t>
  </si>
  <si>
    <t>419-523-5233</t>
  </si>
  <si>
    <t>Tomboni</t>
  </si>
  <si>
    <t>YMCA of East Liverpool Ohio</t>
  </si>
  <si>
    <t>500 E. 4th St.</t>
  </si>
  <si>
    <t>330-385-0663</t>
  </si>
  <si>
    <t>YMCA of Findlay Ohio</t>
  </si>
  <si>
    <t>300 E. Lincoln St.</t>
  </si>
  <si>
    <t>45840-4943</t>
  </si>
  <si>
    <t>419-422-4424</t>
  </si>
  <si>
    <t>Gartner</t>
  </si>
  <si>
    <t>Geary Family YMCA of Fostoria Ohio Inc.</t>
  </si>
  <si>
    <t>154 W Center Street</t>
  </si>
  <si>
    <t>419-435-6608</t>
  </si>
  <si>
    <t>YMCA of Darke County Inc.</t>
  </si>
  <si>
    <t>PO Box 128</t>
  </si>
  <si>
    <t>45331-2534</t>
  </si>
  <si>
    <t>937-548-3777</t>
  </si>
  <si>
    <t>Condon</t>
  </si>
  <si>
    <t>The Great Miami Valley YMCA</t>
  </si>
  <si>
    <t>105 N 2nd St</t>
  </si>
  <si>
    <t>513-887-0001</t>
  </si>
  <si>
    <t>Fitton</t>
  </si>
  <si>
    <t>Lake County YMCA</t>
  </si>
  <si>
    <t>933 Mentor Ave.</t>
  </si>
  <si>
    <t>440-354-5656</t>
  </si>
  <si>
    <t>YMCA of the Jackson Area</t>
  </si>
  <si>
    <t>594 E. Main St.</t>
  </si>
  <si>
    <t>45640-2127</t>
  </si>
  <si>
    <t>740-286-7008</t>
  </si>
  <si>
    <t>Emily</t>
  </si>
  <si>
    <t>Rubley</t>
  </si>
  <si>
    <t>Family YMCA of Lancaster &amp; Fairfield County Ohio</t>
  </si>
  <si>
    <t>465 W. 6th Ave.</t>
  </si>
  <si>
    <t>43130-2547</t>
  </si>
  <si>
    <t>740-654-0616</t>
  </si>
  <si>
    <t>Leber</t>
  </si>
  <si>
    <t>Hardin County Family YMCA</t>
  </si>
  <si>
    <t>918 W. Franklin St.</t>
  </si>
  <si>
    <t>43326-1720</t>
  </si>
  <si>
    <t>419-673-6131</t>
  </si>
  <si>
    <t>Galvin</t>
  </si>
  <si>
    <t>YMCA of Lima Ohio</t>
  </si>
  <si>
    <t>345 S. Elizabeth St.</t>
  </si>
  <si>
    <t>45801-4840</t>
  </si>
  <si>
    <t>419-223-6045</t>
  </si>
  <si>
    <t>Mansfield YMCA</t>
  </si>
  <si>
    <t>750 Scholl Road</t>
  </si>
  <si>
    <t>419-522-3511</t>
  </si>
  <si>
    <t>Kenyon</t>
  </si>
  <si>
    <t>Galion Community Center YMCA Inc.</t>
  </si>
  <si>
    <t>500 Gill Ave.</t>
  </si>
  <si>
    <t>44833-1299</t>
  </si>
  <si>
    <t>419-468-7754</t>
  </si>
  <si>
    <t>Gribble</t>
  </si>
  <si>
    <t>YMCA of Marietta</t>
  </si>
  <si>
    <t>300 N. 7th St.</t>
  </si>
  <si>
    <t>45750-2243</t>
  </si>
  <si>
    <t>740-373-2250</t>
  </si>
  <si>
    <t>Al</t>
  </si>
  <si>
    <t>Marion Family YMCA</t>
  </si>
  <si>
    <t>645 Barks Road E</t>
  </si>
  <si>
    <t>740-725-7622</t>
  </si>
  <si>
    <t>Lubke</t>
  </si>
  <si>
    <t>Union County Family YMCA</t>
  </si>
  <si>
    <t>1150 Charles Lane</t>
  </si>
  <si>
    <t>937-644-4901</t>
  </si>
  <si>
    <t>Commings, Jr.</t>
  </si>
  <si>
    <t>YMCA of Western Stark County</t>
  </si>
  <si>
    <t>131 Tremont Ave. SE</t>
  </si>
  <si>
    <t>44646-6698</t>
  </si>
  <si>
    <t>330-837-5116</t>
  </si>
  <si>
    <t>Stanford</t>
  </si>
  <si>
    <t>YMCA of Mount Vernon Ohio</t>
  </si>
  <si>
    <t>103 N. Main St.</t>
  </si>
  <si>
    <t>740-392-9622</t>
  </si>
  <si>
    <t>Uhrig</t>
  </si>
  <si>
    <t>The Licking County Family YMCA</t>
  </si>
  <si>
    <t>470 W. Church St.</t>
  </si>
  <si>
    <t>43055-4236</t>
  </si>
  <si>
    <t>740-345-9622</t>
  </si>
  <si>
    <t>Bohren, II</t>
  </si>
  <si>
    <t>Miami County YMCA at Piqua Ohio</t>
  </si>
  <si>
    <t>223 W. High St.</t>
  </si>
  <si>
    <t>45356-2298</t>
  </si>
  <si>
    <t>937-773-9622</t>
  </si>
  <si>
    <t>Nees</t>
  </si>
  <si>
    <t>YMCA of Sandusky, Ohio</t>
  </si>
  <si>
    <t>2101 W. Perkins Ave.</t>
  </si>
  <si>
    <t>44870-2043</t>
  </si>
  <si>
    <t>419.621.9622</t>
  </si>
  <si>
    <t>Snider</t>
  </si>
  <si>
    <t>YMCA of Sandusky County</t>
  </si>
  <si>
    <t>1000 North St</t>
  </si>
  <si>
    <t>419-332-9622</t>
  </si>
  <si>
    <t>Reiter</t>
  </si>
  <si>
    <t>Shelby YMCA Community Center</t>
  </si>
  <si>
    <t>PO Box 45</t>
  </si>
  <si>
    <t>419-347-1312</t>
  </si>
  <si>
    <t>Haight</t>
  </si>
  <si>
    <t>YMCA of Sidney and Shelby County Ohio</t>
  </si>
  <si>
    <t>300 Parkwood</t>
  </si>
  <si>
    <t>937-492-9622</t>
  </si>
  <si>
    <t>Springfield Family YMCA</t>
  </si>
  <si>
    <t>300 S. Limestone St.</t>
  </si>
  <si>
    <t>937-323-3781</t>
  </si>
  <si>
    <t>Woodrow</t>
  </si>
  <si>
    <t>Cornette</t>
  </si>
  <si>
    <t>Champaign Family YMCA</t>
  </si>
  <si>
    <t>PO Box 635</t>
  </si>
  <si>
    <t>43078-0635</t>
  </si>
  <si>
    <t>937-653-9622</t>
  </si>
  <si>
    <t>Looney-Finney</t>
  </si>
  <si>
    <t>Tecumseh YMCA Family Center</t>
  </si>
  <si>
    <t>524 N. Dayton Lakeview Rd.</t>
  </si>
  <si>
    <t>937-845-3513</t>
  </si>
  <si>
    <t>Sandra</t>
  </si>
  <si>
    <t>Schnitzler</t>
  </si>
  <si>
    <t>Tiffin Community YMCA Recreation Center Inc.</t>
  </si>
  <si>
    <t>180 Summit St.</t>
  </si>
  <si>
    <t>419-447-8711</t>
  </si>
  <si>
    <t>Crone</t>
  </si>
  <si>
    <t>YMCA of Greater Toledo</t>
  </si>
  <si>
    <t>1500 North Superior St, Floor 2</t>
  </si>
  <si>
    <t>419-729-8135</t>
  </si>
  <si>
    <t>Robert, not Bob!!</t>
  </si>
  <si>
    <t>Tuscarawas County YMCA Inc.</t>
  </si>
  <si>
    <t>600 Monroe St.</t>
  </si>
  <si>
    <t>330-364-5511</t>
  </si>
  <si>
    <t>Keith</t>
  </si>
  <si>
    <t>Lands</t>
  </si>
  <si>
    <t>YMCA of Van Wert County Ohio</t>
  </si>
  <si>
    <t>241 W. Main St.</t>
  </si>
  <si>
    <t>45891-1636</t>
  </si>
  <si>
    <t>419-238-0443</t>
  </si>
  <si>
    <t>Hugh</t>
  </si>
  <si>
    <t>Kocab</t>
  </si>
  <si>
    <t>YMCA of Vermilion Ohio Inc.</t>
  </si>
  <si>
    <t>Box 14</t>
  </si>
  <si>
    <t>44089-2286</t>
  </si>
  <si>
    <t>440-967-4208</t>
  </si>
  <si>
    <t>Melissa</t>
  </si>
  <si>
    <t>Stefano</t>
  </si>
  <si>
    <t>YMCA of Trumbull County Ohio</t>
  </si>
  <si>
    <t>210 High St. NW</t>
  </si>
  <si>
    <t>44481-1007</t>
  </si>
  <si>
    <t>330-394-1565</t>
  </si>
  <si>
    <t>Wendy</t>
  </si>
  <si>
    <t>Marvin</t>
  </si>
  <si>
    <t>Lakota Family YMCA</t>
  </si>
  <si>
    <t>PO Box 692</t>
  </si>
  <si>
    <t>513-779-3917</t>
  </si>
  <si>
    <t>Schaller</t>
  </si>
  <si>
    <t>Willard Area YMCA</t>
  </si>
  <si>
    <t>401 S Conwell Ave</t>
  </si>
  <si>
    <t>Willard</t>
  </si>
  <si>
    <t>419-933-6673</t>
  </si>
  <si>
    <t>Polachek</t>
  </si>
  <si>
    <t>YMCA of Wooster Ohio</t>
  </si>
  <si>
    <t>680 Woodland Ave.</t>
  </si>
  <si>
    <t>44691-2743</t>
  </si>
  <si>
    <t>330-264-3131</t>
  </si>
  <si>
    <t>Johnston, II</t>
  </si>
  <si>
    <t>YMCA of Orrville Ohio</t>
  </si>
  <si>
    <t>1801 Smucker Rd</t>
  </si>
  <si>
    <t>44667-9191</t>
  </si>
  <si>
    <t>330-683-2153</t>
  </si>
  <si>
    <t>Witmer</t>
  </si>
  <si>
    <t>YMCA of Greene County Ohio</t>
  </si>
  <si>
    <t>135 E. Church St.</t>
  </si>
  <si>
    <t>Xenia</t>
  </si>
  <si>
    <t>45385-3000</t>
  </si>
  <si>
    <t>937-376-9622</t>
  </si>
  <si>
    <t>YMCA of Youngstown Ohio</t>
  </si>
  <si>
    <t>PO Box 1287</t>
  </si>
  <si>
    <t>330-744-8411</t>
  </si>
  <si>
    <t>Rudge</t>
  </si>
  <si>
    <t>Wapakoneta Family YMCA</t>
  </si>
  <si>
    <t>1100 Defiance St.</t>
  </si>
  <si>
    <t>419-739-9622</t>
  </si>
  <si>
    <t>Ruth</t>
  </si>
  <si>
    <t>Knous</t>
  </si>
  <si>
    <t>Muskingum Family YMCA</t>
  </si>
  <si>
    <t>P.O. Box 1808</t>
  </si>
  <si>
    <t>43701-3345</t>
  </si>
  <si>
    <t>740-453-9622</t>
  </si>
  <si>
    <t>Miracle</t>
  </si>
  <si>
    <t>Ardmore Family YMCA at Ardmore Oklahoma</t>
  </si>
  <si>
    <t>920 15th Ave. NW</t>
  </si>
  <si>
    <t>73401-1808</t>
  </si>
  <si>
    <t>580-223-3990</t>
  </si>
  <si>
    <t>Riley</t>
  </si>
  <si>
    <t>Family YMCA of Bartlesville</t>
  </si>
  <si>
    <t>101 N Osage Ave</t>
  </si>
  <si>
    <t>918-336-0713</t>
  </si>
  <si>
    <t>Libby</t>
  </si>
  <si>
    <t>Merritt</t>
  </si>
  <si>
    <t>The Denny Price Family YMCA of Enid, Oklahoma</t>
  </si>
  <si>
    <t>415 W Cherokee Ave</t>
  </si>
  <si>
    <t>580-237-4645</t>
  </si>
  <si>
    <t>Rapp</t>
  </si>
  <si>
    <t>Texas County Family YMCA</t>
  </si>
  <si>
    <t>1602 N. Oklahoma St</t>
  </si>
  <si>
    <t>580-388-5720</t>
  </si>
  <si>
    <t>Rixon</t>
  </si>
  <si>
    <t>Grady County Family YMCA</t>
  </si>
  <si>
    <t>PO Box 2244</t>
  </si>
  <si>
    <t>Chickasha</t>
  </si>
  <si>
    <t>73018-2305</t>
  </si>
  <si>
    <t>405-224-2281</t>
  </si>
  <si>
    <t>McAdoo</t>
  </si>
  <si>
    <t>YMCA of Lawton Oklahoma</t>
  </si>
  <si>
    <t>5 SW Fifth Street</t>
  </si>
  <si>
    <t>580-355-9622</t>
  </si>
  <si>
    <t>Carl</t>
  </si>
  <si>
    <t>Rankin, Jr.</t>
  </si>
  <si>
    <t>Daily Family YMCA of Bixby</t>
  </si>
  <si>
    <t>7910 E 134th St S</t>
  </si>
  <si>
    <t>918-369-9622</t>
  </si>
  <si>
    <t>Jeri</t>
  </si>
  <si>
    <t>Strange</t>
  </si>
  <si>
    <t>1350 Lexington Ave</t>
  </si>
  <si>
    <t>73069-8491</t>
  </si>
  <si>
    <t>405-364-9622</t>
  </si>
  <si>
    <t>Dandridge</t>
  </si>
  <si>
    <t>YMCA of Greater Oklahoma City</t>
  </si>
  <si>
    <t>500 N Broadway Suite 500</t>
  </si>
  <si>
    <t>405-297-7710</t>
  </si>
  <si>
    <t>Okmulgee County Family YMCA</t>
  </si>
  <si>
    <t>106 W. 13th St.</t>
  </si>
  <si>
    <t>74447-5702</t>
  </si>
  <si>
    <t>918-756-6677</t>
  </si>
  <si>
    <t>Interim Exec</t>
  </si>
  <si>
    <t>YMCA of Ponca City</t>
  </si>
  <si>
    <t>702 E. Grand Ave.</t>
  </si>
  <si>
    <t>74601-5514</t>
  </si>
  <si>
    <t>580-765-5417</t>
  </si>
  <si>
    <t>Harland</t>
  </si>
  <si>
    <t>Noble County Family YMCA</t>
  </si>
  <si>
    <t>107 N. 7th St.</t>
  </si>
  <si>
    <t>73077-6401</t>
  </si>
  <si>
    <t>580-336-4411</t>
  </si>
  <si>
    <t>Shawnee Family YMCA</t>
  </si>
  <si>
    <t>700 West Saratoga</t>
  </si>
  <si>
    <t>405-273-4386</t>
  </si>
  <si>
    <t>Tracy</t>
  </si>
  <si>
    <t>Walker</t>
  </si>
  <si>
    <t>Stillwater Family YMCA</t>
  </si>
  <si>
    <t>204 S. Duck St.</t>
  </si>
  <si>
    <t>405-372-5833</t>
  </si>
  <si>
    <t>Daniel</t>
  </si>
  <si>
    <t>Carman</t>
  </si>
  <si>
    <t>YMCA of Greater Tulsa</t>
  </si>
  <si>
    <t>2405 E Skelly Dr</t>
  </si>
  <si>
    <t>918-747-9622</t>
  </si>
  <si>
    <t>Plank</t>
  </si>
  <si>
    <t>Great Plains Family YMCA Inc.</t>
  </si>
  <si>
    <t>1400 N. Airport Rd</t>
  </si>
  <si>
    <t>580-772-0202</t>
  </si>
  <si>
    <t>Rex</t>
  </si>
  <si>
    <t>Outhier</t>
  </si>
  <si>
    <t>YMCA of Ashland</t>
  </si>
  <si>
    <t>540 YMCA Way</t>
  </si>
  <si>
    <t>541-482-9622</t>
  </si>
  <si>
    <t>Family YMCA of Baker County</t>
  </si>
  <si>
    <t>580 Baker St.</t>
  </si>
  <si>
    <t>98714-3129</t>
  </si>
  <si>
    <t>541.523.9622</t>
  </si>
  <si>
    <t>Stalder</t>
  </si>
  <si>
    <t>Eugene Family YMCA</t>
  </si>
  <si>
    <t>2055 Patterson St.</t>
  </si>
  <si>
    <t>97405-2958</t>
  </si>
  <si>
    <t>541-686-9622</t>
  </si>
  <si>
    <t>YMCA of Grants Pass Oregon</t>
  </si>
  <si>
    <t>PO Box 5439</t>
  </si>
  <si>
    <t>541-474-0001</t>
  </si>
  <si>
    <t>YMCA of Klamath Falls</t>
  </si>
  <si>
    <t>1221 S Alameda Ave</t>
  </si>
  <si>
    <t>541-884-4149</t>
  </si>
  <si>
    <t>Meng</t>
  </si>
  <si>
    <t>Interim Executive</t>
  </si>
  <si>
    <t>YMCA of Rogue Valley</t>
  </si>
  <si>
    <t>522 W 6th St</t>
  </si>
  <si>
    <t>541-772-6295</t>
  </si>
  <si>
    <t>Russell</t>
  </si>
  <si>
    <t>Mid-Willamette Family YMCA</t>
  </si>
  <si>
    <t>3311 Pacific Blvd SW</t>
  </si>
  <si>
    <t>541-926-4488 x303</t>
  </si>
  <si>
    <t>Asleson</t>
  </si>
  <si>
    <t>YMCA of Columbia-Willamette Association Services</t>
  </si>
  <si>
    <t>9500 SW Barbur Blvd, Ste. 200</t>
  </si>
  <si>
    <t>97219-5426</t>
  </si>
  <si>
    <t>503-223-9622</t>
  </si>
  <si>
    <t>Hall</t>
  </si>
  <si>
    <t>Central Douglas County YMCA</t>
  </si>
  <si>
    <t>1151 NW Stewart Pkwy.</t>
  </si>
  <si>
    <t>541-440-9622</t>
  </si>
  <si>
    <t>Fink</t>
  </si>
  <si>
    <t>Family YMCA of Marion and Polk Counties</t>
  </si>
  <si>
    <t>685 Court St. NE</t>
  </si>
  <si>
    <t>97301-3844</t>
  </si>
  <si>
    <t>503-581-9622</t>
  </si>
  <si>
    <t>Dunleavy</t>
  </si>
  <si>
    <t>Tillamook County Family YMCA</t>
  </si>
  <si>
    <t>610 Stillwell Ave</t>
  </si>
  <si>
    <t>503-842-9622</t>
  </si>
  <si>
    <t>Schmidt</t>
  </si>
  <si>
    <t>Central Bucks Family YMCA</t>
  </si>
  <si>
    <t>2500 Lower State Road</t>
  </si>
  <si>
    <t>215-348-8131</t>
  </si>
  <si>
    <t>Garver Memorial YMCA</t>
  </si>
  <si>
    <t>820 Grove St.</t>
  </si>
  <si>
    <t>16673-1704</t>
  </si>
  <si>
    <t>814-224-5101</t>
  </si>
  <si>
    <t>Rodney</t>
  </si>
  <si>
    <t>Feather</t>
  </si>
  <si>
    <t>Allentown YMCA</t>
  </si>
  <si>
    <t>425 S. 15th St.</t>
  </si>
  <si>
    <t>18102-4617</t>
  </si>
  <si>
    <t>610-434-9333</t>
  </si>
  <si>
    <t>Veronica</t>
  </si>
  <si>
    <t>Elias</t>
  </si>
  <si>
    <t>Suburban North Familty YMCA</t>
  </si>
  <si>
    <t>880 Walnut</t>
  </si>
  <si>
    <t>610.264.5221</t>
  </si>
  <si>
    <t>Beidel</t>
  </si>
  <si>
    <t>YMCA of Centre County</t>
  </si>
  <si>
    <t>125 W High St</t>
  </si>
  <si>
    <t>(814) 237-7717</t>
  </si>
  <si>
    <t>Ditmer</t>
  </si>
  <si>
    <t>Berwick Area YMCA</t>
  </si>
  <si>
    <t>231 W. 3rd St.</t>
  </si>
  <si>
    <t>18603-3629</t>
  </si>
  <si>
    <t>570-752-5981</t>
  </si>
  <si>
    <t>Pajovich</t>
  </si>
  <si>
    <t>Bethlehem YMCA</t>
  </si>
  <si>
    <t>430 E. Broad St.</t>
  </si>
  <si>
    <t>18018-6313</t>
  </si>
  <si>
    <t>610-867-7588</t>
  </si>
  <si>
    <t>Ballangee</t>
  </si>
  <si>
    <t>Bradford Family YMCA</t>
  </si>
  <si>
    <t>59 Boylston St.</t>
  </si>
  <si>
    <t>16701-2009</t>
  </si>
  <si>
    <t>814-368-6101</t>
  </si>
  <si>
    <t>Brookville YMCA</t>
  </si>
  <si>
    <t>122 Main St.</t>
  </si>
  <si>
    <t>15825-1212</t>
  </si>
  <si>
    <t>814-849-7355</t>
  </si>
  <si>
    <t>Householder</t>
  </si>
  <si>
    <t>Juniata Valley YMCA</t>
  </si>
  <si>
    <t>105 1st Ave.</t>
  </si>
  <si>
    <t>17009-1621</t>
  </si>
  <si>
    <t>717-248-5019</t>
  </si>
  <si>
    <t>McCullough</t>
  </si>
  <si>
    <t>Butler County Family YMCA</t>
  </si>
  <si>
    <t>339 N. Washington St.</t>
  </si>
  <si>
    <t>16001-5261</t>
  </si>
  <si>
    <t>724-287-4733</t>
  </si>
  <si>
    <t>Carbondale YMCA</t>
  </si>
  <si>
    <t>82 N. Main St.</t>
  </si>
  <si>
    <t>18407-1914</t>
  </si>
  <si>
    <t>570-282-2210</t>
  </si>
  <si>
    <t>Durkin</t>
  </si>
  <si>
    <t>Wayne County</t>
  </si>
  <si>
    <t>105 Park St</t>
  </si>
  <si>
    <t>570-253-2083</t>
  </si>
  <si>
    <t>Hoehn-Figura</t>
  </si>
  <si>
    <t>Carlisle Family YMCA</t>
  </si>
  <si>
    <t>311 S West St.</t>
  </si>
  <si>
    <t>17013-3854</t>
  </si>
  <si>
    <t>717-243-2525</t>
  </si>
  <si>
    <t>Marcia</t>
  </si>
  <si>
    <t>Drozdowski</t>
  </si>
  <si>
    <t>Chambersburg Memorial YMCA</t>
  </si>
  <si>
    <t>PO Box 279</t>
  </si>
  <si>
    <t>17201-3402</t>
  </si>
  <si>
    <t>717-263-8508</t>
  </si>
  <si>
    <t>Matthews, Jr.</t>
  </si>
  <si>
    <t>Clearfield YMCA</t>
  </si>
  <si>
    <t>21 N. 2nd St.</t>
  </si>
  <si>
    <t>16830-2438</t>
  </si>
  <si>
    <t>814-765-5521</t>
  </si>
  <si>
    <t>Herres</t>
  </si>
  <si>
    <t>Moshannon Valley YMCA</t>
  </si>
  <si>
    <t>PO Box 426</t>
  </si>
  <si>
    <t>16866-0426</t>
  </si>
  <si>
    <t>814-342-0889</t>
  </si>
  <si>
    <t>Beezer</t>
  </si>
  <si>
    <t>YMCA of the Brandywine Valley</t>
  </si>
  <si>
    <t>50 S First Ave</t>
  </si>
  <si>
    <t>610-643-9622</t>
  </si>
  <si>
    <t>Green</t>
  </si>
  <si>
    <t>Corry YMCA</t>
  </si>
  <si>
    <t>906 N. Ctr. St.</t>
  </si>
  <si>
    <t>16407-1293</t>
  </si>
  <si>
    <t>814-664-7757</t>
  </si>
  <si>
    <t>Redrup</t>
  </si>
  <si>
    <t>Dubois Area YMCA</t>
  </si>
  <si>
    <t>25 Parkway Dr</t>
  </si>
  <si>
    <t>15801-0542</t>
  </si>
  <si>
    <t>814-375-5646</t>
  </si>
  <si>
    <t>Dowling</t>
  </si>
  <si>
    <t>Easton Phillipsburg &amp; Vicinity YMCA</t>
  </si>
  <si>
    <t>1225 W. Lafayette St.</t>
  </si>
  <si>
    <t>18042-1462</t>
  </si>
  <si>
    <t>610-258-6158</t>
  </si>
  <si>
    <t>Nicholas</t>
  </si>
  <si>
    <t>Ciambrone</t>
  </si>
  <si>
    <t>YMCA of Greater Erie</t>
  </si>
  <si>
    <t>31 West 10th St</t>
  </si>
  <si>
    <t>814-452-1432</t>
  </si>
  <si>
    <t>Van De Merwe</t>
  </si>
  <si>
    <t>Franklin/Grove City YMCA</t>
  </si>
  <si>
    <t>111 W. Park St.</t>
  </si>
  <si>
    <t>16323-2627</t>
  </si>
  <si>
    <t>814-432-2138</t>
  </si>
  <si>
    <t>Dorry</t>
  </si>
  <si>
    <t>ED</t>
  </si>
  <si>
    <t>Freeland YMCA</t>
  </si>
  <si>
    <t>PO Box 6</t>
  </si>
  <si>
    <t>18224-1452</t>
  </si>
  <si>
    <t>570-636-3640</t>
  </si>
  <si>
    <t>Landers</t>
  </si>
  <si>
    <t>Germantown YMCA</t>
  </si>
  <si>
    <t>5722 Greene St.</t>
  </si>
  <si>
    <t>19144-2738</t>
  </si>
  <si>
    <t>215-844-3281</t>
  </si>
  <si>
    <t>Manuel</t>
  </si>
  <si>
    <t>Ayala</t>
  </si>
  <si>
    <t>Greensburg YMCA</t>
  </si>
  <si>
    <t>101 South Maple Ave</t>
  </si>
  <si>
    <t>724-834-0150 x 112</t>
  </si>
  <si>
    <t>Nedley</t>
  </si>
  <si>
    <t>Harrisburg Area Metropolitan YMCA</t>
  </si>
  <si>
    <t>123 Foster Street</t>
  </si>
  <si>
    <t>717-232-2068</t>
  </si>
  <si>
    <t>Curl</t>
  </si>
  <si>
    <t>Hazelton YMCA</t>
  </si>
  <si>
    <t>75 S Church St</t>
  </si>
  <si>
    <t>570-455-2046</t>
  </si>
  <si>
    <t>Sue</t>
  </si>
  <si>
    <t>Farley</t>
  </si>
  <si>
    <t>Bloomsburg Area YMCA</t>
  </si>
  <si>
    <t>30 E. 7th St.</t>
  </si>
  <si>
    <t>17815-2728</t>
  </si>
  <si>
    <t>570-784-0188</t>
  </si>
  <si>
    <t>Bearor</t>
  </si>
  <si>
    <t>Hollidaysburg Area YMCA</t>
  </si>
  <si>
    <t>1111 Hewitt St</t>
  </si>
  <si>
    <t>16648-2221</t>
  </si>
  <si>
    <t>814-695-4467</t>
  </si>
  <si>
    <t>Kopriva</t>
  </si>
  <si>
    <t>Indiana County YMCA</t>
  </si>
  <si>
    <t>PO Box 610</t>
  </si>
  <si>
    <t>724-463-9622</t>
  </si>
  <si>
    <t>McElhaney</t>
  </si>
  <si>
    <t>Jersey Shore Area YMCA</t>
  </si>
  <si>
    <t>826 Allegheny St.</t>
  </si>
  <si>
    <t>Jersey Shore</t>
  </si>
  <si>
    <t>17740-1208</t>
  </si>
  <si>
    <t>570-398-2150</t>
  </si>
  <si>
    <t>Jacqueline</t>
  </si>
  <si>
    <t>Greater Johnstown Community YMCA</t>
  </si>
  <si>
    <t>100 Haynes St.</t>
  </si>
  <si>
    <t>15901-2526</t>
  </si>
  <si>
    <t>814-535-8381</t>
  </si>
  <si>
    <t>Sharon</t>
  </si>
  <si>
    <t>Armstrong County YMCA</t>
  </si>
  <si>
    <t>138 N. Water St.</t>
  </si>
  <si>
    <t>Kittanning</t>
  </si>
  <si>
    <t>16201-1516</t>
  </si>
  <si>
    <t>724-545-9622</t>
  </si>
  <si>
    <t>Lancaster Family YMCA</t>
  </si>
  <si>
    <t>572 N Queen St</t>
  </si>
  <si>
    <t>717-397-7474</t>
  </si>
  <si>
    <t>Kenderdine</t>
  </si>
  <si>
    <t>Lebanon Valley Family YMCA</t>
  </si>
  <si>
    <t>201 N 7th St</t>
  </si>
  <si>
    <t>717-273-2691</t>
  </si>
  <si>
    <t>Tipton</t>
  </si>
  <si>
    <t>Lock Haven Area YMCA</t>
  </si>
  <si>
    <t>145 E Water St</t>
  </si>
  <si>
    <t>17745-1343</t>
  </si>
  <si>
    <t>570-748-6727</t>
  </si>
  <si>
    <t>Ligonier Valley YMCA</t>
  </si>
  <si>
    <t>110 W Church St</t>
  </si>
  <si>
    <t>15658-1223</t>
  </si>
  <si>
    <t>724-238-7580</t>
  </si>
  <si>
    <t>Hamm</t>
  </si>
  <si>
    <t>Lower Bucks County YMCA</t>
  </si>
  <si>
    <t>601 S Oxford Valley Rd</t>
  </si>
  <si>
    <t>19030-3901</t>
  </si>
  <si>
    <t>215-949-3400</t>
  </si>
  <si>
    <t>Stark</t>
  </si>
  <si>
    <t>YMCA of McKeesport</t>
  </si>
  <si>
    <t>523 Sinclair St</t>
  </si>
  <si>
    <t>15132-3029</t>
  </si>
  <si>
    <t>412-664-9168</t>
  </si>
  <si>
    <t>Dexter</t>
  </si>
  <si>
    <t>Hairston</t>
  </si>
  <si>
    <t>Meadville YMCA</t>
  </si>
  <si>
    <t>356 Chestnut St</t>
  </si>
  <si>
    <t>16335-3211</t>
  </si>
  <si>
    <t>814-336-2196</t>
  </si>
  <si>
    <t>Lasley</t>
  </si>
  <si>
    <t>Mon Valley YMCA</t>
  </si>
  <si>
    <t>PO Box 64</t>
  </si>
  <si>
    <t>15022-0064</t>
  </si>
  <si>
    <t>724-483-8077</t>
  </si>
  <si>
    <t>Wiltz</t>
  </si>
  <si>
    <t>Nazareth YMCA</t>
  </si>
  <si>
    <t>33 S Main St</t>
  </si>
  <si>
    <t>18064-2037</t>
  </si>
  <si>
    <t>610-759-3440</t>
  </si>
  <si>
    <t>Frey</t>
  </si>
  <si>
    <t>Beaver County YMCA</t>
  </si>
  <si>
    <t>2236 3rd Ave</t>
  </si>
  <si>
    <t>724-847-2200</t>
  </si>
  <si>
    <t>Parise</t>
  </si>
  <si>
    <t>New Castle Community YMCA</t>
  </si>
  <si>
    <t>20 W Washington St</t>
  </si>
  <si>
    <t>16101-3908</t>
  </si>
  <si>
    <t>724-658-4766</t>
  </si>
  <si>
    <t>Lutz</t>
  </si>
  <si>
    <t>North Penn YMCA</t>
  </si>
  <si>
    <t>2506 N Broad St., Suite 208</t>
  </si>
  <si>
    <t>215-368-9622 x101</t>
  </si>
  <si>
    <t>Oak Hollow YMCA</t>
  </si>
  <si>
    <t>1800 Morris Ave</t>
  </si>
  <si>
    <t>North Huntingdon</t>
  </si>
  <si>
    <t>15642-1496</t>
  </si>
  <si>
    <t>412-864-1740</t>
  </si>
  <si>
    <t>Raynor</t>
  </si>
  <si>
    <t>Oil City Area YMCA</t>
  </si>
  <si>
    <t>7 Petroleum St</t>
  </si>
  <si>
    <t>16301-1284</t>
  </si>
  <si>
    <t>814-677-3000</t>
  </si>
  <si>
    <t>Spence</t>
  </si>
  <si>
    <t>Philadelphia YMCA</t>
  </si>
  <si>
    <t>2000 Market Street, Suite 750</t>
  </si>
  <si>
    <t>19103-3214</t>
  </si>
  <si>
    <t>215-963-3700</t>
  </si>
  <si>
    <t>Flynn</t>
  </si>
  <si>
    <t>Community YMCA of Eastern Delaware County</t>
  </si>
  <si>
    <t>2110 Garrett Rd</t>
  </si>
  <si>
    <t>19050-1090</t>
  </si>
  <si>
    <t>610-259-1661</t>
  </si>
  <si>
    <t>Ranck</t>
  </si>
  <si>
    <t>Freedom Valley YMCA</t>
  </si>
  <si>
    <t>2460 Blvd of the Generals</t>
  </si>
  <si>
    <t>19403-2437</t>
  </si>
  <si>
    <t>610-539-9190</t>
  </si>
  <si>
    <t>Schaeffer</t>
  </si>
  <si>
    <t>Pittsburgh Metro YMCA</t>
  </si>
  <si>
    <t>330 Blvd of the Allies</t>
  </si>
  <si>
    <t>412-227-3800</t>
  </si>
  <si>
    <t>Mann</t>
  </si>
  <si>
    <t>Greater Pittston YMCA</t>
  </si>
  <si>
    <t>10 N Main St</t>
  </si>
  <si>
    <t>18640-1806</t>
  </si>
  <si>
    <t>570-655-2255</t>
  </si>
  <si>
    <t>Pottstown YMCA</t>
  </si>
  <si>
    <t>724 N Adams St</t>
  </si>
  <si>
    <t>Pottstown</t>
  </si>
  <si>
    <t>610-323-7300</t>
  </si>
  <si>
    <t>JoAnn</t>
  </si>
  <si>
    <t>Short</t>
  </si>
  <si>
    <t>Upper Bucks County YMCA</t>
  </si>
  <si>
    <t>451 California Road</t>
  </si>
  <si>
    <t>215-536-8841</t>
  </si>
  <si>
    <t>Edwards</t>
  </si>
  <si>
    <t>Reading &amp; Berks YMCA</t>
  </si>
  <si>
    <t>631 Washington Street</t>
  </si>
  <si>
    <t>610-378-4700</t>
  </si>
  <si>
    <t>Rusty</t>
  </si>
  <si>
    <t>Bahr</t>
  </si>
  <si>
    <t>Boyertown Area YMCA</t>
  </si>
  <si>
    <t>301 W Spring St</t>
  </si>
  <si>
    <t>610-369-9622</t>
  </si>
  <si>
    <t>Geary</t>
  </si>
  <si>
    <t>Ridgeway YMCA</t>
  </si>
  <si>
    <t>34 N Broad St</t>
  </si>
  <si>
    <t>814.776.1146</t>
  </si>
  <si>
    <t>Mary</t>
  </si>
  <si>
    <t>Bellotti</t>
  </si>
  <si>
    <t>Regional Family Laurel Highlands YMCA</t>
  </si>
  <si>
    <t>490 Bessemer Rd</t>
  </si>
  <si>
    <t>724-542-9622</t>
  </si>
  <si>
    <t>Simon</t>
  </si>
  <si>
    <t>Scranton YMCA</t>
  </si>
  <si>
    <t>706 N Blakely</t>
  </si>
  <si>
    <t>570.342.8115</t>
  </si>
  <si>
    <t>McLafferty</t>
  </si>
  <si>
    <t>Schuylkill YMCA</t>
  </si>
  <si>
    <t>216 N 12th St</t>
  </si>
  <si>
    <t>570.622.7850</t>
  </si>
  <si>
    <t>Stump</t>
  </si>
  <si>
    <t>Sewickley Valley YMCA</t>
  </si>
  <si>
    <t>625 Blackburn Rd</t>
  </si>
  <si>
    <t>412-741-9622</t>
  </si>
  <si>
    <t>Stevenson</t>
  </si>
  <si>
    <t>Shenango Valley YMCA</t>
  </si>
  <si>
    <t>925 N Hermitage Rd</t>
  </si>
  <si>
    <t>724.981.6950</t>
  </si>
  <si>
    <t>Joellen</t>
  </si>
  <si>
    <t>Arenas</t>
  </si>
  <si>
    <t>State College Area Family YMCA</t>
  </si>
  <si>
    <t>677 W Whitehall Rd</t>
  </si>
  <si>
    <t>814.237.7717</t>
  </si>
  <si>
    <t>Pocono Family YMCA</t>
  </si>
  <si>
    <t>809 Main St</t>
  </si>
  <si>
    <t>18360-1601</t>
  </si>
  <si>
    <t>570-421-2525</t>
  </si>
  <si>
    <t>Rumph</t>
  </si>
  <si>
    <t>Susquenhanna Valley YMCA</t>
  </si>
  <si>
    <t>PO Box 390</t>
  </si>
  <si>
    <t>570.286.5636</t>
  </si>
  <si>
    <t>Bonnie</t>
  </si>
  <si>
    <t>Wassmer</t>
  </si>
  <si>
    <t>Allegheny Valley YMCA</t>
  </si>
  <si>
    <t>5021 Freeport Road</t>
  </si>
  <si>
    <t>724-224-9500</t>
  </si>
  <si>
    <t>DeMarco</t>
  </si>
  <si>
    <t>State YMCA of Pennsylvania</t>
  </si>
  <si>
    <t>103 Sunset Ave</t>
  </si>
  <si>
    <t>717.652.9585</t>
  </si>
  <si>
    <t>Titusville YMCA</t>
  </si>
  <si>
    <t>201 W Spring Street</t>
  </si>
  <si>
    <t>814.827.3931</t>
  </si>
  <si>
    <t>Ciccarelli</t>
  </si>
  <si>
    <t>Uniontown Area YMCA</t>
  </si>
  <si>
    <t>One YMCA Dr</t>
  </si>
  <si>
    <t>724-438-2584</t>
  </si>
  <si>
    <t>Cooper</t>
  </si>
  <si>
    <t>Upper Main Line YMCA</t>
  </si>
  <si>
    <t>1416 Berwyn-Paoli Road</t>
  </si>
  <si>
    <t>610-249-9622</t>
  </si>
  <si>
    <t>Tankle</t>
  </si>
  <si>
    <t>212 Lexington Ave</t>
  </si>
  <si>
    <t>16365-2822</t>
  </si>
  <si>
    <t>814-726-0110</t>
  </si>
  <si>
    <t>Thad</t>
  </si>
  <si>
    <t>Turner</t>
  </si>
  <si>
    <t>Waynesboro Area YMCA</t>
  </si>
  <si>
    <t>810 E Main St</t>
  </si>
  <si>
    <t>717-762-6012</t>
  </si>
  <si>
    <t>South Mountain YMCA</t>
  </si>
  <si>
    <t>PO Box 147</t>
  </si>
  <si>
    <t>610.670.2267</t>
  </si>
  <si>
    <t>Edmonds</t>
  </si>
  <si>
    <t>Wilkes-Barre Family YMCA</t>
  </si>
  <si>
    <t>40 W Northampton St</t>
  </si>
  <si>
    <t>570-823-2191</t>
  </si>
  <si>
    <t>River Valley Regional YMCA</t>
  </si>
  <si>
    <t>320 Elmira Street</t>
  </si>
  <si>
    <t>570-323-7134</t>
  </si>
  <si>
    <t>Fagerstrom</t>
  </si>
  <si>
    <t>York &amp; York County YMCA</t>
  </si>
  <si>
    <t>90 N Newberry St</t>
  </si>
  <si>
    <t>717-812-0119</t>
  </si>
  <si>
    <t>Richardson</t>
  </si>
  <si>
    <t>Hanover Area YMCA</t>
  </si>
  <si>
    <t>500 N George St</t>
  </si>
  <si>
    <t>717-632-8211</t>
  </si>
  <si>
    <t>Liam</t>
  </si>
  <si>
    <t>Behrens</t>
  </si>
  <si>
    <t>Valley Points Family YMCA</t>
  </si>
  <si>
    <t>800 Constitution Blvd</t>
  </si>
  <si>
    <t>724.335.9191</t>
  </si>
  <si>
    <t>Shilling</t>
  </si>
  <si>
    <t>Camp Tecumseh YMCA</t>
  </si>
  <si>
    <t>12635 W Tecumseh Bend Road</t>
  </si>
  <si>
    <t>765-564-2898</t>
  </si>
  <si>
    <t>Newport County YMCA</t>
  </si>
  <si>
    <t>792 Valley Road</t>
  </si>
  <si>
    <t>401.847.9200</t>
  </si>
  <si>
    <t>Milinazzo</t>
  </si>
  <si>
    <t>Pawtucket &amp; Central Falls Metro YMCA</t>
  </si>
  <si>
    <t>660 Roosevelt Ave</t>
  </si>
  <si>
    <t>401-727-7515</t>
  </si>
  <si>
    <t>Esselton</t>
  </si>
  <si>
    <t>McNulty</t>
  </si>
  <si>
    <t>YMCA of Greater Providence</t>
  </si>
  <si>
    <t>222 Richmond Street, Suite 302</t>
  </si>
  <si>
    <t>401.521.9622</t>
  </si>
  <si>
    <t>Leslie</t>
  </si>
  <si>
    <t>Smithfield YMCA</t>
  </si>
  <si>
    <t>PO Box 363</t>
  </si>
  <si>
    <t>401-949-2480</t>
  </si>
  <si>
    <t>Hemberger</t>
  </si>
  <si>
    <t>Ocean Community YMCA</t>
  </si>
  <si>
    <t>95 High Street</t>
  </si>
  <si>
    <t>401-596-2894</t>
  </si>
  <si>
    <t>Maureen</t>
  </si>
  <si>
    <t>Fitzgerald</t>
  </si>
  <si>
    <t>Woonsocket YMCA</t>
  </si>
  <si>
    <t>18 Federal Street</t>
  </si>
  <si>
    <t>401.769.0791</t>
  </si>
  <si>
    <t>Anderson Area YMCA</t>
  </si>
  <si>
    <t>201 E Reed Road</t>
  </si>
  <si>
    <t>864.716.6260</t>
  </si>
  <si>
    <t>Drennon</t>
  </si>
  <si>
    <t>Beaufort County YMCA</t>
  </si>
  <si>
    <t>1801 Richmond Ave</t>
  </si>
  <si>
    <t>843.522.9622</t>
  </si>
  <si>
    <t>Bostwick</t>
  </si>
  <si>
    <t>Newberry County Family YMCA</t>
  </si>
  <si>
    <t>PO Box 662</t>
  </si>
  <si>
    <t>803.276.9936</t>
  </si>
  <si>
    <t>Coffey</t>
  </si>
  <si>
    <t>Coastal Carolina YMCA</t>
  </si>
  <si>
    <t>904 65th Ave N</t>
  </si>
  <si>
    <t>843-449-9622</t>
  </si>
  <si>
    <t>Rhoden</t>
  </si>
  <si>
    <t>Cannon Street YMCA</t>
  </si>
  <si>
    <t>61 Cannon Street</t>
  </si>
  <si>
    <t>843.577.9622</t>
  </si>
  <si>
    <t>Stoney</t>
  </si>
  <si>
    <t>Berkeley County YMCA</t>
  </si>
  <si>
    <t>210 Rembert C Dennis Blvd</t>
  </si>
  <si>
    <t>843.761.9622</t>
  </si>
  <si>
    <t>Herbert</t>
  </si>
  <si>
    <t>Dickson</t>
  </si>
  <si>
    <t>Summerville Family YMCA</t>
  </si>
  <si>
    <t>140 S Cedar Street</t>
  </si>
  <si>
    <t>843.871.9622</t>
  </si>
  <si>
    <t>Lukridge</t>
  </si>
  <si>
    <t>Foothills Area Family YMCA</t>
  </si>
  <si>
    <t>275 YMCA Circle</t>
  </si>
  <si>
    <t>864.654.5219</t>
  </si>
  <si>
    <t>Anna</t>
  </si>
  <si>
    <t>Connelly</t>
  </si>
  <si>
    <t>Clinton Family YMCA</t>
  </si>
  <si>
    <t>PO Box 492</t>
  </si>
  <si>
    <t>864.833.9622</t>
  </si>
  <si>
    <t>Simmons</t>
  </si>
  <si>
    <t>Orangeburg YMCA</t>
  </si>
  <si>
    <t>PO Box 2508</t>
  </si>
  <si>
    <t>Orangeburg</t>
  </si>
  <si>
    <t>803.268.9622</t>
  </si>
  <si>
    <t>Cedric</t>
  </si>
  <si>
    <t>Gibb</t>
  </si>
  <si>
    <t>Columbia SC YMCA</t>
  </si>
  <si>
    <t>1420 Sumter Street</t>
  </si>
  <si>
    <t>803.799.9187</t>
  </si>
  <si>
    <t>Madden</t>
  </si>
  <si>
    <t>YMCA of Upper Pee Dee</t>
  </si>
  <si>
    <t>111 E Carolina Ave</t>
  </si>
  <si>
    <t>843.383.4547</t>
  </si>
  <si>
    <t>Ward</t>
  </si>
  <si>
    <t>Pickens County YMCA</t>
  </si>
  <si>
    <t>201 Burns Road</t>
  </si>
  <si>
    <t>864-307-0212</t>
  </si>
  <si>
    <t>Sid</t>
  </si>
  <si>
    <t>Cherokee County Family YMCA</t>
  </si>
  <si>
    <t>102 Quarry Drive</t>
  </si>
  <si>
    <t>864.487.7556</t>
  </si>
  <si>
    <t>Goforth</t>
  </si>
  <si>
    <t>Florence Family YMCA</t>
  </si>
  <si>
    <t>1700 Rutherford Drive</t>
  </si>
  <si>
    <t>843.665.1234</t>
  </si>
  <si>
    <t>Greenville Metropolitan YMCA</t>
  </si>
  <si>
    <t>601 E McBee Ave, Suite 212</t>
  </si>
  <si>
    <t>864-242-1111</t>
  </si>
  <si>
    <t>Scot</t>
  </si>
  <si>
    <t>Baddley</t>
  </si>
  <si>
    <t>Greenwood YMCA</t>
  </si>
  <si>
    <t>1760 Calhoun Road</t>
  </si>
  <si>
    <t>864.223.9622</t>
  </si>
  <si>
    <t>Gray</t>
  </si>
  <si>
    <t>Stallworth</t>
  </si>
  <si>
    <t>Upper Palmetto YMCA</t>
  </si>
  <si>
    <t>323 Oakland Ave.</t>
  </si>
  <si>
    <t>803.324.9622</t>
  </si>
  <si>
    <t>Moe</t>
  </si>
  <si>
    <t>Bell</t>
  </si>
  <si>
    <t>Family YMCA of Greater Laurens</t>
  </si>
  <si>
    <t>410 Anderson Drive</t>
  </si>
  <si>
    <t>864.984.2626</t>
  </si>
  <si>
    <t>Harlan</t>
  </si>
  <si>
    <t>Greater Spartanburg YMCA</t>
  </si>
  <si>
    <t>266 Pine St</t>
  </si>
  <si>
    <t>864.585.0306</t>
  </si>
  <si>
    <t>Callebs</t>
  </si>
  <si>
    <t>Sumter YMCA</t>
  </si>
  <si>
    <t>50 Willow Drive</t>
  </si>
  <si>
    <t>803.773.1404</t>
  </si>
  <si>
    <t>Tripp</t>
  </si>
  <si>
    <t>Ballard</t>
  </si>
  <si>
    <t>106 Lakeside Drive</t>
  </si>
  <si>
    <t>864.427.0668</t>
  </si>
  <si>
    <t>Sandor</t>
  </si>
  <si>
    <t>Aberdeen Family YMCA</t>
  </si>
  <si>
    <t>5 South State St.</t>
  </si>
  <si>
    <t>57401-4524</t>
  </si>
  <si>
    <t>605-225-4910</t>
  </si>
  <si>
    <t>Graf</t>
  </si>
  <si>
    <t>Northern Hills YMCA</t>
  </si>
  <si>
    <t>845 Miners Ave</t>
  </si>
  <si>
    <t>Lead</t>
  </si>
  <si>
    <t>605.584.1113</t>
  </si>
  <si>
    <t>Corkins</t>
  </si>
  <si>
    <t>Program Director</t>
  </si>
  <si>
    <t>YMCA of Rapid City South Dakota</t>
  </si>
  <si>
    <t>815 Kansas City St</t>
  </si>
  <si>
    <t>605-718-9622</t>
  </si>
  <si>
    <t>Gallimore</t>
  </si>
  <si>
    <t>YMCA of Sioux Falls</t>
  </si>
  <si>
    <t>230 S Minnesota Ave</t>
  </si>
  <si>
    <t>605.336.3190</t>
  </si>
  <si>
    <t>Gulick</t>
  </si>
  <si>
    <t>Oahe YMCA</t>
  </si>
  <si>
    <t>900 E Church Street</t>
  </si>
  <si>
    <t>605.224.1683</t>
  </si>
  <si>
    <t>DeWayne</t>
  </si>
  <si>
    <t>Donaldson</t>
  </si>
  <si>
    <t>Athens-McMinn Family YMCA</t>
  </si>
  <si>
    <t>PO Box 376</t>
  </si>
  <si>
    <t>423.745.4904</t>
  </si>
  <si>
    <t>Lee</t>
  </si>
  <si>
    <t>Bristol YMCA</t>
  </si>
  <si>
    <t>400 Edgemont Ave</t>
  </si>
  <si>
    <t>423.968.3133</t>
  </si>
  <si>
    <t>Ayers</t>
  </si>
  <si>
    <t>YMCA of Metropolitan Chattanooga</t>
  </si>
  <si>
    <t>301 W 6th Street</t>
  </si>
  <si>
    <t>423.265.8834</t>
  </si>
  <si>
    <t>Putnam County Family YMCA</t>
  </si>
  <si>
    <t>235 Cavaller Drive</t>
  </si>
  <si>
    <t>Cookeville</t>
  </si>
  <si>
    <t>931-528-1133</t>
  </si>
  <si>
    <t>Business Manager</t>
  </si>
  <si>
    <t>Rhea Family YMCA</t>
  </si>
  <si>
    <t>PO Box 607</t>
  </si>
  <si>
    <t>423-775-0821</t>
  </si>
  <si>
    <t>Unicoi County YMCA</t>
  </si>
  <si>
    <t>PO Box 60</t>
  </si>
  <si>
    <t>423.743.3361</t>
  </si>
  <si>
    <t>Lewis</t>
  </si>
  <si>
    <t>Greene County YMCA</t>
  </si>
  <si>
    <t>404 Y Street</t>
  </si>
  <si>
    <t>423.639.6107</t>
  </si>
  <si>
    <t>Holloway</t>
  </si>
  <si>
    <t>Sparta/White County YMCA</t>
  </si>
  <si>
    <t>123 Moore Street</t>
  </si>
  <si>
    <t>931.836.3330</t>
  </si>
  <si>
    <t>Littrell</t>
  </si>
  <si>
    <t>1515 Campbell Street</t>
  </si>
  <si>
    <t>731.424.0912</t>
  </si>
  <si>
    <t>Cook</t>
  </si>
  <si>
    <t>YMCA of East Tennessee</t>
  </si>
  <si>
    <t>10713 Kingston Pike</t>
  </si>
  <si>
    <t>865-522-9622</t>
  </si>
  <si>
    <t>Dyer County YMCA</t>
  </si>
  <si>
    <t>PO Box 1502</t>
  </si>
  <si>
    <t>731-288-9622</t>
  </si>
  <si>
    <t>YMCA of Manchester/Coffee County</t>
  </si>
  <si>
    <t>852 Interstate Dr</t>
  </si>
  <si>
    <t>931.728.7988</t>
  </si>
  <si>
    <t>NONE</t>
  </si>
  <si>
    <t>Greater Kingsport Family YMCA</t>
  </si>
  <si>
    <t>1100 Franklin Square</t>
  </si>
  <si>
    <t>423.247.9622</t>
  </si>
  <si>
    <t>Glass</t>
  </si>
  <si>
    <t>Memphis &amp; Mid-South YMCA</t>
  </si>
  <si>
    <t>777 West Poplar Ave #103</t>
  </si>
  <si>
    <t>901.766.7677</t>
  </si>
  <si>
    <t>Milan Family YMCA</t>
  </si>
  <si>
    <t>5207 Industrial Drive</t>
  </si>
  <si>
    <t>731.686.9000</t>
  </si>
  <si>
    <t>Hanks</t>
  </si>
  <si>
    <t>YMCA of Middle Tennessee</t>
  </si>
  <si>
    <t>1000 Church Street</t>
  </si>
  <si>
    <t>615-259-9622</t>
  </si>
  <si>
    <t>Journey</t>
  </si>
  <si>
    <t>YMCA of Abilene Texas</t>
  </si>
  <si>
    <t>PO Box 3137</t>
  </si>
  <si>
    <t>325-677-8144</t>
  </si>
  <si>
    <t>Roberto</t>
  </si>
  <si>
    <t>Aguirre</t>
  </si>
  <si>
    <t>YMCA of Amarillo Texas</t>
  </si>
  <si>
    <t>4101 Hillside Rd</t>
  </si>
  <si>
    <t>79110-3147</t>
  </si>
  <si>
    <t>806.367.8047</t>
  </si>
  <si>
    <t>YMCA of Arlington</t>
  </si>
  <si>
    <t>2200 S Davis Drive</t>
  </si>
  <si>
    <t>817-299-9629</t>
  </si>
  <si>
    <t>Willie</t>
  </si>
  <si>
    <t>214 Loyola Drive</t>
  </si>
  <si>
    <t>903.264.9622</t>
  </si>
  <si>
    <t>Austin Metropolitan YMCA</t>
  </si>
  <si>
    <t>1402 E Cesar Chavez St</t>
  </si>
  <si>
    <t>512-322-9622</t>
  </si>
  <si>
    <t>Finck</t>
  </si>
  <si>
    <t>Beaumont Metro YMCA</t>
  </si>
  <si>
    <t>PO Box 21558</t>
  </si>
  <si>
    <t>77720-1558</t>
  </si>
  <si>
    <t>409.842.5550</t>
  </si>
  <si>
    <t>Big Spring YMCA</t>
  </si>
  <si>
    <t>PO Box 1428</t>
  </si>
  <si>
    <t>432.267.8234</t>
  </si>
  <si>
    <t>Thiry</t>
  </si>
  <si>
    <t>Canadian Area YMCA</t>
  </si>
  <si>
    <t>915 Cheyenne Ave</t>
  </si>
  <si>
    <t>806.323.5254</t>
  </si>
  <si>
    <t>Michelle</t>
  </si>
  <si>
    <t>Dear</t>
  </si>
  <si>
    <t>YMCA of The Coastal Bend</t>
  </si>
  <si>
    <t>417 S Upper Broadway Street</t>
  </si>
  <si>
    <t>78401-3431</t>
  </si>
  <si>
    <t>361.882.1741</t>
  </si>
  <si>
    <t>Scoville</t>
  </si>
  <si>
    <t>Corsicana YMCA</t>
  </si>
  <si>
    <t>400 Oaklawn Ave</t>
  </si>
  <si>
    <t>903.872.2412</t>
  </si>
  <si>
    <t>Seth</t>
  </si>
  <si>
    <t>YMCA of Metro Dallas</t>
  </si>
  <si>
    <t>601 N Akard Street</t>
  </si>
  <si>
    <t>214-880-9622</t>
  </si>
  <si>
    <t>Gordie</t>
  </si>
  <si>
    <t>Echtenkamp</t>
  </si>
  <si>
    <t>Moore County YMCA</t>
  </si>
  <si>
    <t>1400 S Maddox</t>
  </si>
  <si>
    <t>806.935.4136</t>
  </si>
  <si>
    <t>Haugen</t>
  </si>
  <si>
    <t>YMCA of Greater Williamson County</t>
  </si>
  <si>
    <t>PO Box 819</t>
  </si>
  <si>
    <t>512-246-9622/512-615-5530</t>
  </si>
  <si>
    <t>Greater El Paso &amp; Rio Grande Valley</t>
  </si>
  <si>
    <t>808 Montana Ave.</t>
  </si>
  <si>
    <t>915.533.3941</t>
  </si>
  <si>
    <t>Fort Worth Metro YMCA</t>
  </si>
  <si>
    <t>540 Lamar Street</t>
  </si>
  <si>
    <t>817.335.6147</t>
  </si>
  <si>
    <t>Shuman</t>
  </si>
  <si>
    <t>Galveston County YMCA</t>
  </si>
  <si>
    <t>1707 23rd Street</t>
  </si>
  <si>
    <t>Galveston</t>
  </si>
  <si>
    <t>409.763.4607</t>
  </si>
  <si>
    <t>Jami Sue</t>
  </si>
  <si>
    <t>Huygens</t>
  </si>
  <si>
    <t>Greenville/Hunt County YMCA</t>
  </si>
  <si>
    <t>1915 Stanford Street</t>
  </si>
  <si>
    <t>903.455.5405</t>
  </si>
  <si>
    <t>Kelly</t>
  </si>
  <si>
    <t>Gaudreau</t>
  </si>
  <si>
    <t>Hereford &amp; Vicinity YMCA</t>
  </si>
  <si>
    <t>500 E 15th Street</t>
  </si>
  <si>
    <t>806.364.6990</t>
  </si>
  <si>
    <t>Weldon</t>
  </si>
  <si>
    <t>Knabe</t>
  </si>
  <si>
    <t>Greater Houston Area YMCA</t>
  </si>
  <si>
    <t>PO Box 3007</t>
  </si>
  <si>
    <t>713.659.5566</t>
  </si>
  <si>
    <t>Baker</t>
  </si>
  <si>
    <t>Midland YMCA</t>
  </si>
  <si>
    <t>PO Box 954</t>
  </si>
  <si>
    <t>432.682.2551</t>
  </si>
  <si>
    <t>Fierro</t>
  </si>
  <si>
    <t>Odessa Family YMCA</t>
  </si>
  <si>
    <t>3001 E University Blvd</t>
  </si>
  <si>
    <t>432.362.4301</t>
  </si>
  <si>
    <t>Neeley</t>
  </si>
  <si>
    <t>Palestine YMCA</t>
  </si>
  <si>
    <t>5500 N Loop 256</t>
  </si>
  <si>
    <t>903.729.7233</t>
  </si>
  <si>
    <t>Oranch</t>
  </si>
  <si>
    <t>Plainview YMCA</t>
  </si>
  <si>
    <t>PO Box 1286</t>
  </si>
  <si>
    <t>806.293.8319</t>
  </si>
  <si>
    <t>Port Arthur YMCA</t>
  </si>
  <si>
    <t>6760 9th Ave</t>
  </si>
  <si>
    <t>409.962.6644</t>
  </si>
  <si>
    <t>Hicks</t>
  </si>
  <si>
    <t>San Angelo YMCA</t>
  </si>
  <si>
    <t>305 S Randolph</t>
  </si>
  <si>
    <t>325.655.9106</t>
  </si>
  <si>
    <t>Heiman</t>
  </si>
  <si>
    <t>YMCA of San Antonio &amp; the Hill Country</t>
  </si>
  <si>
    <t>1123 Navarro St</t>
  </si>
  <si>
    <t>210-246-9622</t>
  </si>
  <si>
    <t>Baron</t>
  </si>
  <si>
    <t>Herdelin-Doherty</t>
  </si>
  <si>
    <t>Kerr County YMCA</t>
  </si>
  <si>
    <t>PO Box 290188</t>
  </si>
  <si>
    <t>830.896.8000</t>
  </si>
  <si>
    <t>thompson</t>
  </si>
  <si>
    <t>Tyler YMCA</t>
  </si>
  <si>
    <t>225 S Vine Ave</t>
  </si>
  <si>
    <t>43040-9489</t>
  </si>
  <si>
    <t>903.593.7327</t>
  </si>
  <si>
    <t>Golden Crescent YMCA</t>
  </si>
  <si>
    <t>1806 N Nimitz St</t>
  </si>
  <si>
    <t>361-575-0511</t>
  </si>
  <si>
    <t>Fiorillo</t>
  </si>
  <si>
    <t>Central Texas YMCA</t>
  </si>
  <si>
    <t>PO Box 20515</t>
  </si>
  <si>
    <t>254.776.6612</t>
  </si>
  <si>
    <t>Wichita Falls Metro YMCA</t>
  </si>
  <si>
    <t>1010 9th Street</t>
  </si>
  <si>
    <t>940.322.7816</t>
  </si>
  <si>
    <t>Brandon</t>
  </si>
  <si>
    <t>Greater Salt Lake Area YMCA</t>
  </si>
  <si>
    <t>3098 S Highland Suite 290</t>
  </si>
  <si>
    <t>801.466.6299</t>
  </si>
  <si>
    <t>Ashley</t>
  </si>
  <si>
    <t>Wohlgemuth</t>
  </si>
  <si>
    <t>Greater Burlington YMCA</t>
  </si>
  <si>
    <t>266 College Street</t>
  </si>
  <si>
    <t>802-862-9622</t>
  </si>
  <si>
    <t>Burns</t>
  </si>
  <si>
    <t>Acting President</t>
  </si>
  <si>
    <t>Meeting Waters YMCA</t>
  </si>
  <si>
    <t>66 Atkinson St</t>
  </si>
  <si>
    <t>802-463-4769</t>
  </si>
  <si>
    <t>Fortier</t>
  </si>
  <si>
    <t>YMCA at Virginia Tech</t>
  </si>
  <si>
    <t>403 Washington St SW</t>
  </si>
  <si>
    <t>540-231-6860</t>
  </si>
  <si>
    <t>Dwayne</t>
  </si>
  <si>
    <t>Kittle</t>
  </si>
  <si>
    <t>Altavista Area YMCA</t>
  </si>
  <si>
    <t>PO Box 149</t>
  </si>
  <si>
    <t>434-369-9622</t>
  </si>
  <si>
    <t>Jester</t>
  </si>
  <si>
    <t>Alleghany Highlands YMCA</t>
  </si>
  <si>
    <t>101 YMCA Way</t>
  </si>
  <si>
    <t>540.962.9622</t>
  </si>
  <si>
    <t>Gwen</t>
  </si>
  <si>
    <t>Bagley</t>
  </si>
  <si>
    <t>Bedford Area Family YMCA</t>
  </si>
  <si>
    <t>PO Box 1026</t>
  </si>
  <si>
    <t>540-586-3483</t>
  </si>
  <si>
    <t>Piedmont Family YMCA</t>
  </si>
  <si>
    <t>442 Westfield Rd</t>
  </si>
  <si>
    <t>434-974-9622</t>
  </si>
  <si>
    <t>Blank</t>
  </si>
  <si>
    <t>Danville YMCA</t>
  </si>
  <si>
    <t>810 Main St</t>
  </si>
  <si>
    <t>434-792-0621</t>
  </si>
  <si>
    <t>Sarah</t>
  </si>
  <si>
    <t>Folmar</t>
  </si>
  <si>
    <t>Southside Virginia Family YMCA</t>
  </si>
  <si>
    <t>580 Commerce Rd.</t>
  </si>
  <si>
    <t>434-392-3456</t>
  </si>
  <si>
    <t>Albert</t>
  </si>
  <si>
    <t>James L. Camp YMCA</t>
  </si>
  <si>
    <t>PO Box 1100</t>
  </si>
  <si>
    <t>757-562-3491</t>
  </si>
  <si>
    <t>Roberts</t>
  </si>
  <si>
    <t>Rappahannock Area YMCA</t>
  </si>
  <si>
    <t>212 Butler Rd</t>
  </si>
  <si>
    <t>540-371-9622</t>
  </si>
  <si>
    <t>Bernie</t>
  </si>
  <si>
    <t>Reiley</t>
  </si>
  <si>
    <t>YMCA of Buchanan County</t>
  </si>
  <si>
    <t>PO Box 1450</t>
  </si>
  <si>
    <t>276-935-8871</t>
  </si>
  <si>
    <t>Bozzer</t>
  </si>
  <si>
    <t>Virginia YMCA</t>
  </si>
  <si>
    <t>PO Box 10365</t>
  </si>
  <si>
    <t>434-385-9117</t>
  </si>
  <si>
    <t>Coward</t>
  </si>
  <si>
    <t>YMCA of Central Virginia</t>
  </si>
  <si>
    <t>801 Wyndhurst Drive</t>
  </si>
  <si>
    <t>434-582-1900</t>
  </si>
  <si>
    <t>Landergan</t>
  </si>
  <si>
    <t>Franklin County Family YMCA</t>
  </si>
  <si>
    <t>PO Box 720</t>
  </si>
  <si>
    <t>540-489-9622</t>
  </si>
  <si>
    <t>Rockbridge Area YMCA</t>
  </si>
  <si>
    <t>126 Walker Street</t>
  </si>
  <si>
    <t>540-464-9622</t>
  </si>
  <si>
    <t>Mayerchak</t>
  </si>
  <si>
    <t>YMCA of South Boston and Halifax County</t>
  </si>
  <si>
    <t>650 Hamilton Blvd</t>
  </si>
  <si>
    <t>434-572-8909</t>
  </si>
  <si>
    <t>Marcus</t>
  </si>
  <si>
    <t>Hargrave</t>
  </si>
  <si>
    <t>Martinsville &amp; Henry County Family YMCA</t>
  </si>
  <si>
    <t>3 Starling Ave</t>
  </si>
  <si>
    <t>276-632-6427</t>
  </si>
  <si>
    <t>Kinkema</t>
  </si>
  <si>
    <t>Peninsula Metro YMCA</t>
  </si>
  <si>
    <t>101 Long Green Blvd</t>
  </si>
  <si>
    <t>757-223-7925</t>
  </si>
  <si>
    <t>YMCA of South Hampton Roads</t>
  </si>
  <si>
    <t>250 W Brambleton Ave Ste 100</t>
  </si>
  <si>
    <t>757-624-9622</t>
  </si>
  <si>
    <t>Harris</t>
  </si>
  <si>
    <t>William A. Hunton Family YMCA</t>
  </si>
  <si>
    <t>1139 East Charlotte Street</t>
  </si>
  <si>
    <t>757-622-7271</t>
  </si>
  <si>
    <t>Orton</t>
  </si>
  <si>
    <t>Mecklenburg County YMCA</t>
  </si>
  <si>
    <t>PO Box 1753</t>
  </si>
  <si>
    <t>434-374-5858</t>
  </si>
  <si>
    <t>Portsmouth YMCA</t>
  </si>
  <si>
    <t>4900 High St West</t>
  </si>
  <si>
    <t>757-483-9622</t>
  </si>
  <si>
    <t>Wentz</t>
  </si>
  <si>
    <t>Family YMCA of Emporia/Greensville</t>
  </si>
  <si>
    <t>510 N Main St</t>
  </si>
  <si>
    <t>434-348-9622</t>
  </si>
  <si>
    <t>Kristin</t>
  </si>
  <si>
    <t>Vaughan</t>
  </si>
  <si>
    <t>South Hill YMCA</t>
  </si>
  <si>
    <t>116 N Mecklenburg Ave</t>
  </si>
  <si>
    <t>434-447-9622</t>
  </si>
  <si>
    <t>Hensel Eckman YMCA</t>
  </si>
  <si>
    <t>615 Oakhurst Ave</t>
  </si>
  <si>
    <t>540-980-3671</t>
  </si>
  <si>
    <t>Wantland</t>
  </si>
  <si>
    <t>YMCA of Greater Richmond</t>
  </si>
  <si>
    <t>2 W Franklin St</t>
  </si>
  <si>
    <t>804-649-9622</t>
  </si>
  <si>
    <t>YMCA of Roanoke Valley</t>
  </si>
  <si>
    <t>PO Box 2130</t>
  </si>
  <si>
    <t>540-527-9622</t>
  </si>
  <si>
    <t>Cal</t>
  </si>
  <si>
    <t>Staunton Augusta YMCA</t>
  </si>
  <si>
    <t>P.O Box 2746</t>
  </si>
  <si>
    <t>540-885-8089</t>
  </si>
  <si>
    <t>Peltz</t>
  </si>
  <si>
    <t>Waynesboro Family YMCA</t>
  </si>
  <si>
    <t>648 S Wayne Ave</t>
  </si>
  <si>
    <t>540-942-5107</t>
  </si>
  <si>
    <t>Fife</t>
  </si>
  <si>
    <t>Four Seasons Wellness Center Inc</t>
  </si>
  <si>
    <t>PO Box 625</t>
  </si>
  <si>
    <t>Tazewell</t>
  </si>
  <si>
    <t>276-979-0280</t>
  </si>
  <si>
    <t>Parham</t>
  </si>
  <si>
    <t>Grays Harbor YMCA</t>
  </si>
  <si>
    <t>2500 Simpson Ave</t>
  </si>
  <si>
    <t>360-537-9622</t>
  </si>
  <si>
    <t>Kurtis</t>
  </si>
  <si>
    <t>Whatcom Family YMCA</t>
  </si>
  <si>
    <t>1256 N State St</t>
  </si>
  <si>
    <t>360-733-8630</t>
  </si>
  <si>
    <t>Harding</t>
  </si>
  <si>
    <t>Clallam County YMCA</t>
  </si>
  <si>
    <t>302 S Francis St</t>
  </si>
  <si>
    <t>360-452-9244</t>
  </si>
  <si>
    <t>Maguire</t>
  </si>
  <si>
    <t>YMCA of Snohomish County</t>
  </si>
  <si>
    <t>2720 Rockefeller Ave</t>
  </si>
  <si>
    <t>425-258-9211</t>
  </si>
  <si>
    <t>Washburn</t>
  </si>
  <si>
    <t>YMCA of Southwest Washington</t>
  </si>
  <si>
    <t>PO Box 698</t>
  </si>
  <si>
    <t>360-423-4770</t>
  </si>
  <si>
    <t>Roosevelt</t>
  </si>
  <si>
    <t>Smith, Jr.</t>
  </si>
  <si>
    <t>YMCA of the Greater Tri-Cities</t>
  </si>
  <si>
    <t>1234 Columbia Park Trail</t>
  </si>
  <si>
    <t>509-374-1908</t>
  </si>
  <si>
    <t>Howland</t>
  </si>
  <si>
    <t>Skagit Valley Family YMCA</t>
  </si>
  <si>
    <t>215 E Fulton St</t>
  </si>
  <si>
    <t>360-336-9622</t>
  </si>
  <si>
    <t>Shrumm</t>
  </si>
  <si>
    <t>South Sound YMCA</t>
  </si>
  <si>
    <t>1530 Yelm Hwy SE</t>
  </si>
  <si>
    <t>360-753-6576</t>
  </si>
  <si>
    <t>West</t>
  </si>
  <si>
    <t>YMCA at Washington State University</t>
  </si>
  <si>
    <t>Cub 320, Box 647230</t>
  </si>
  <si>
    <t>509-335-3915</t>
  </si>
  <si>
    <t>Erik</t>
  </si>
  <si>
    <t>Bengston</t>
  </si>
  <si>
    <t>YMCA of Greater Seattle</t>
  </si>
  <si>
    <t>909 4th Avenue</t>
  </si>
  <si>
    <t>206-382-5003</t>
  </si>
  <si>
    <t>Gilbertson</t>
  </si>
  <si>
    <t>YMCA of the Inland Northwest</t>
  </si>
  <si>
    <t>507 N Howard</t>
  </si>
  <si>
    <t>509-838-3577</t>
  </si>
  <si>
    <t>Rig</t>
  </si>
  <si>
    <t>YMCA of Pierce and Kitsap Counties</t>
  </si>
  <si>
    <t>1614 Mildred St. Ste 1</t>
  </si>
  <si>
    <t>253-534-7801</t>
  </si>
  <si>
    <t>Ecklund</t>
  </si>
  <si>
    <t>YMCA of Walla Walla</t>
  </si>
  <si>
    <t>PO Box 1637</t>
  </si>
  <si>
    <t>509-525-8863</t>
  </si>
  <si>
    <t>Ned</t>
  </si>
  <si>
    <t>Shafer</t>
  </si>
  <si>
    <t>Wenatchee Valley YMCA</t>
  </si>
  <si>
    <t>PO Box 1974</t>
  </si>
  <si>
    <t>509-662-2109</t>
  </si>
  <si>
    <t>YMCA of Yakima</t>
  </si>
  <si>
    <t>5 N Naches Ave</t>
  </si>
  <si>
    <t>509-248-1202</t>
  </si>
  <si>
    <t>Romero</t>
  </si>
  <si>
    <t>YMCA of Beckley-Raleigh County</t>
  </si>
  <si>
    <t>121 E Main St</t>
  </si>
  <si>
    <t>304-252-0715</t>
  </si>
  <si>
    <t>Gilchrist III</t>
  </si>
  <si>
    <t>YMCA of Kanawha</t>
  </si>
  <si>
    <t>300 Hilcrest Dr E</t>
  </si>
  <si>
    <t>304-340-3540</t>
  </si>
  <si>
    <t>Giroir</t>
  </si>
  <si>
    <t>PO Box 737</t>
  </si>
  <si>
    <t>44322-2084</t>
  </si>
  <si>
    <t>304-757-0016</t>
  </si>
  <si>
    <t>YMCA of Elkins West Virginia</t>
  </si>
  <si>
    <t>400 Davis Ave</t>
  </si>
  <si>
    <t>304-636-4515</t>
  </si>
  <si>
    <t>Gillispie</t>
  </si>
  <si>
    <t>Harrison County YMCA</t>
  </si>
  <si>
    <t>Lowndes Hill Park, PO Box 688</t>
  </si>
  <si>
    <t>304-623-3303</t>
  </si>
  <si>
    <t>Parkington</t>
  </si>
  <si>
    <t>Greenbrier Valley YMCA</t>
  </si>
  <si>
    <t>540 N Jefferson St, Box 5</t>
  </si>
  <si>
    <t>Lewisburg</t>
  </si>
  <si>
    <t>304-645-4000</t>
  </si>
  <si>
    <t>Cliff</t>
  </si>
  <si>
    <t>Dech</t>
  </si>
  <si>
    <t>YMCA of Huntington West Virginia</t>
  </si>
  <si>
    <t>935 10th Ave</t>
  </si>
  <si>
    <t>304-525-8127</t>
  </si>
  <si>
    <t>Smailes</t>
  </si>
  <si>
    <t>YMCA of Parkersburg West Virginia</t>
  </si>
  <si>
    <t>PO Box 4300</t>
  </si>
  <si>
    <t>304-485-5585</t>
  </si>
  <si>
    <t>YMCA of Wheeling</t>
  </si>
  <si>
    <t>PO Box 6537</t>
  </si>
  <si>
    <t>304-242-8086</t>
  </si>
  <si>
    <t>Panas</t>
  </si>
  <si>
    <t>Ohio-West Virginia YMCA</t>
  </si>
  <si>
    <t>PO Box 239</t>
  </si>
  <si>
    <t>304-675-5899</t>
  </si>
  <si>
    <t>King</t>
  </si>
  <si>
    <t>YMCA of the Fox Cities</t>
  </si>
  <si>
    <t>218 E Lawrence St</t>
  </si>
  <si>
    <t>920-739-6135</t>
  </si>
  <si>
    <t>Breider</t>
  </si>
  <si>
    <t>YMCA of Dodge County</t>
  </si>
  <si>
    <t>220 Corporate Dr.</t>
  </si>
  <si>
    <t>920-887-8811</t>
  </si>
  <si>
    <t>Jen</t>
  </si>
  <si>
    <t>Kruel</t>
  </si>
  <si>
    <t>Stateline Family YMCA of Beloit</t>
  </si>
  <si>
    <t>1865 Riverside Dr</t>
  </si>
  <si>
    <t>608-365-2261</t>
  </si>
  <si>
    <t>Ace</t>
  </si>
  <si>
    <t>Camp Manito-Wish YMCA</t>
  </si>
  <si>
    <t>PO Box 246</t>
  </si>
  <si>
    <t>715-385-2312</t>
  </si>
  <si>
    <t>Anne</t>
  </si>
  <si>
    <t>Derber</t>
  </si>
  <si>
    <t>Chippewa Valley YMCA</t>
  </si>
  <si>
    <t>PO Box 195</t>
  </si>
  <si>
    <t>715-723-2201</t>
  </si>
  <si>
    <t>Sherbinow</t>
  </si>
  <si>
    <t>YMCA of Eau Claire WI</t>
  </si>
  <si>
    <t>700 Graham Ave</t>
  </si>
  <si>
    <t>715-836-8460</t>
  </si>
  <si>
    <t>Van Es</t>
  </si>
  <si>
    <t>Fond Du Lac YMCA</t>
  </si>
  <si>
    <t>90 W 2nd St</t>
  </si>
  <si>
    <t>920-921-3330</t>
  </si>
  <si>
    <t>Giles</t>
  </si>
  <si>
    <t>Greater Marinette-Menominee YMCA Inc.</t>
  </si>
  <si>
    <t>1600 West Dr.</t>
  </si>
  <si>
    <t>906-863-9983</t>
  </si>
  <si>
    <t>Terri</t>
  </si>
  <si>
    <t>The Greater Green Bay YMCA</t>
  </si>
  <si>
    <t>235 N Jefferson St</t>
  </si>
  <si>
    <t>920-436-9622</t>
  </si>
  <si>
    <t>Door County YMCA</t>
  </si>
  <si>
    <t>1900 Michigan St</t>
  </si>
  <si>
    <t>920-743-4949</t>
  </si>
  <si>
    <t>Family YMCA of Northern Rock County</t>
  </si>
  <si>
    <t>221 Dodge St</t>
  </si>
  <si>
    <t>608-754-6654</t>
  </si>
  <si>
    <t>Den Boer</t>
  </si>
  <si>
    <t>La Crosse Area Family YMCA</t>
  </si>
  <si>
    <t>1140 Main St</t>
  </si>
  <si>
    <t>608-782-9622</t>
  </si>
  <si>
    <t>Soper</t>
  </si>
  <si>
    <t>Geneva Lakes Family YMCA</t>
  </si>
  <si>
    <t>203 S Wells St</t>
  </si>
  <si>
    <t>262-248-6211</t>
  </si>
  <si>
    <t>Peyer</t>
  </si>
  <si>
    <t>YMCA of Dane County, Inc.</t>
  </si>
  <si>
    <t>8001 Excelsior Dr., Ste. 200</t>
  </si>
  <si>
    <t>608-664-9622</t>
  </si>
  <si>
    <t>Marshfield Area YMCA</t>
  </si>
  <si>
    <t>410 W McMilan St</t>
  </si>
  <si>
    <t>715-387-4900</t>
  </si>
  <si>
    <t>Nystrom</t>
  </si>
  <si>
    <t>Manitowoc-Two Rivers Area YMCA</t>
  </si>
  <si>
    <t>PO Box 471</t>
  </si>
  <si>
    <t>920-682-0341</t>
  </si>
  <si>
    <t>Kenosha YMCA</t>
  </si>
  <si>
    <t>720-59th Pl</t>
  </si>
  <si>
    <t>262-654-9622</t>
  </si>
  <si>
    <t>Monaco</t>
  </si>
  <si>
    <t>YMCA of Metro Milwaukee Inc.</t>
  </si>
  <si>
    <t>161 W Wisconsin Ave, Ste 4000</t>
  </si>
  <si>
    <t>414-224-9622</t>
  </si>
  <si>
    <t>Yamachika</t>
  </si>
  <si>
    <t>Green County Family YMCA</t>
  </si>
  <si>
    <t>1307 2nd St</t>
  </si>
  <si>
    <t>608-325-2003</t>
  </si>
  <si>
    <t>Stangel</t>
  </si>
  <si>
    <t>YMCA at Pabst Farms</t>
  </si>
  <si>
    <t>1750 Valley Rd</t>
  </si>
  <si>
    <t>262-567-7251</t>
  </si>
  <si>
    <t>Denman</t>
  </si>
  <si>
    <t>Oshkosh Community YMCA</t>
  </si>
  <si>
    <t>324 Washington Ave</t>
  </si>
  <si>
    <t>920-236-3380</t>
  </si>
  <si>
    <t>Blaze</t>
  </si>
  <si>
    <t>Phantom Lake YMCA Camp</t>
  </si>
  <si>
    <t>S110W30240 YMCA Camp Rd</t>
  </si>
  <si>
    <t>Mukwonago</t>
  </si>
  <si>
    <t>262-363-4386</t>
  </si>
  <si>
    <t>Spang</t>
  </si>
  <si>
    <t>Racine Family YMCA</t>
  </si>
  <si>
    <t>725 Lake Ave</t>
  </si>
  <si>
    <t>262-634-1994</t>
  </si>
  <si>
    <t>Collen</t>
  </si>
  <si>
    <t>YMCA of the Northwoods</t>
  </si>
  <si>
    <t>2003 Winnebago St</t>
  </si>
  <si>
    <t>715-362-9622</t>
  </si>
  <si>
    <t>Francis</t>
  </si>
  <si>
    <t>Sheboygan County YMCA</t>
  </si>
  <si>
    <t>920-451-8000</t>
  </si>
  <si>
    <t>Donna</t>
  </si>
  <si>
    <t>Wendlandt</t>
  </si>
  <si>
    <t>South Wood County YMCA</t>
  </si>
  <si>
    <t>211 Wisconsin River Dr</t>
  </si>
  <si>
    <t>715-887-3240</t>
  </si>
  <si>
    <t>Stevens Point YMCA</t>
  </si>
  <si>
    <t>1000 Division St</t>
  </si>
  <si>
    <t>715-342-2980</t>
  </si>
  <si>
    <t>Superior-Douglas County Family YMCA</t>
  </si>
  <si>
    <t>9 N 21st St</t>
  </si>
  <si>
    <t>715-392-5611</t>
  </si>
  <si>
    <t>Kraft</t>
  </si>
  <si>
    <t>Waukesha Family YMCA</t>
  </si>
  <si>
    <t>320 E Broadway</t>
  </si>
  <si>
    <t>17268-2336</t>
  </si>
  <si>
    <t>262-542-2557</t>
  </si>
  <si>
    <t>Becker</t>
  </si>
  <si>
    <t>YMCA of Woodson</t>
  </si>
  <si>
    <t>707 3rd St</t>
  </si>
  <si>
    <t>715-845-2177</t>
  </si>
  <si>
    <t>Kettle Moraine YMCA Inc.</t>
  </si>
  <si>
    <t>1111 W Washington St</t>
  </si>
  <si>
    <t>262-334-3405</t>
  </si>
  <si>
    <t>Casper Family YMCA</t>
  </si>
  <si>
    <t>315 E 15th St</t>
  </si>
  <si>
    <t>307-234-9187</t>
  </si>
  <si>
    <t>Krauss</t>
  </si>
  <si>
    <t>Johnson County Family YMCA</t>
  </si>
  <si>
    <t>101 S. Klondike Dr</t>
  </si>
  <si>
    <t>82834-2599</t>
  </si>
  <si>
    <t>307.684.9558</t>
  </si>
  <si>
    <t>Quast</t>
  </si>
  <si>
    <t>Cheyenne Family YMCA</t>
  </si>
  <si>
    <t>1426 E Lincolnway</t>
  </si>
  <si>
    <t>307-634-9622</t>
  </si>
  <si>
    <t>Sheridan County YMCA</t>
  </si>
  <si>
    <t>417 N Jefferson St</t>
  </si>
  <si>
    <t>307-674-7488</t>
  </si>
  <si>
    <t>McGinnis</t>
  </si>
  <si>
    <t>Association of YMCA Professionals</t>
  </si>
  <si>
    <t>12 Broad St. Suite 2-1</t>
  </si>
  <si>
    <t>401-604-0034</t>
  </si>
  <si>
    <t>Coduri</t>
  </si>
  <si>
    <t>Central Y Owners LLC</t>
  </si>
  <si>
    <t>PO Box 208</t>
  </si>
  <si>
    <t>Mosey</t>
  </si>
  <si>
    <t>YMCA/Sanford LLC dba Family Wellness</t>
  </si>
  <si>
    <t>8701 W. 32nd St.</t>
  </si>
  <si>
    <t>605.323.6900</t>
  </si>
  <si>
    <t>Hanson</t>
  </si>
  <si>
    <t>Armed Services YMCA of the USA-National Headquarters</t>
  </si>
  <si>
    <t>6359 Walker Ln, Ste 200</t>
  </si>
  <si>
    <t>703-313-9600</t>
  </si>
  <si>
    <t>NC United Methodist Camp &amp; Retreat Ministries</t>
  </si>
  <si>
    <t>Gallo</t>
  </si>
  <si>
    <t>The Bishop Gravatt Center</t>
  </si>
  <si>
    <t>Levite JCC</t>
  </si>
  <si>
    <t>PO Box 131394</t>
  </si>
  <si>
    <t>205-879-0411</t>
  </si>
  <si>
    <t>Valley of the Sun JCC</t>
  </si>
  <si>
    <t>480-483-7121</t>
  </si>
  <si>
    <t>Garth</t>
  </si>
  <si>
    <t>Potts</t>
  </si>
  <si>
    <t>Exec. Dir.</t>
  </si>
  <si>
    <t>Barness Family East Valley JCC</t>
  </si>
  <si>
    <t>908 N Alma School Rd.</t>
  </si>
  <si>
    <t>Chandler</t>
  </si>
  <si>
    <t>480.897.0588</t>
  </si>
  <si>
    <t>Moises</t>
  </si>
  <si>
    <t>Paz</t>
  </si>
  <si>
    <t>Tucson JCC</t>
  </si>
  <si>
    <t>520-299-3000</t>
  </si>
  <si>
    <t>Tepper</t>
  </si>
  <si>
    <t>JCC of the East Bay</t>
  </si>
  <si>
    <t>510-848-0237</t>
  </si>
  <si>
    <t>Light</t>
  </si>
  <si>
    <t>Peninsula JCC</t>
  </si>
  <si>
    <t>800 Foster City Blvd.</t>
  </si>
  <si>
    <t>Foster City</t>
  </si>
  <si>
    <t>650-212-7522</t>
  </si>
  <si>
    <t>Sally</t>
  </si>
  <si>
    <t>Flinchbaugh</t>
  </si>
  <si>
    <t>Acting Exec. Director</t>
  </si>
  <si>
    <t>Merage JCC of Orange County</t>
  </si>
  <si>
    <t>One Federation Way, Suite 200</t>
  </si>
  <si>
    <t>Irvine</t>
  </si>
  <si>
    <t>949-435-3400</t>
  </si>
  <si>
    <t>Deborah</t>
  </si>
  <si>
    <t>Pinsky</t>
  </si>
  <si>
    <t>Barbara and Ray Alpert JCC</t>
  </si>
  <si>
    <t>3801 E. Willow St.</t>
  </si>
  <si>
    <t>90815-1734</t>
  </si>
  <si>
    <t>562-426-7601</t>
  </si>
  <si>
    <t>Bernstein</t>
  </si>
  <si>
    <t>Westside JCC</t>
  </si>
  <si>
    <t>5870 W Olympic Blvd</t>
  </si>
  <si>
    <t>323-938-2531</t>
  </si>
  <si>
    <t>Antonoff</t>
  </si>
  <si>
    <t>JCC Development Corporation</t>
  </si>
  <si>
    <t>310-310-0679</t>
  </si>
  <si>
    <t>Greene</t>
  </si>
  <si>
    <t>JCC of San Francisco</t>
  </si>
  <si>
    <t>3200 California St.</t>
  </si>
  <si>
    <t>415-292-1200</t>
  </si>
  <si>
    <t>JCC of the Desert</t>
  </si>
  <si>
    <t>69-930 Hwy 111 Suite 204</t>
  </si>
  <si>
    <t>Rancho Mirage</t>
  </si>
  <si>
    <t>760-324-4737</t>
  </si>
  <si>
    <t>Sandee</t>
  </si>
  <si>
    <t>Blechman</t>
  </si>
  <si>
    <t>Albert L Shultz JCC</t>
  </si>
  <si>
    <t>4000 Middlefield Rd, Bldg. R</t>
  </si>
  <si>
    <t>650-493-9400</t>
  </si>
  <si>
    <t>Klugman</t>
  </si>
  <si>
    <t>Lawrence Family JCC of San Diego</t>
  </si>
  <si>
    <t>4126 Executive Dr.</t>
  </si>
  <si>
    <t>LaJolla</t>
  </si>
  <si>
    <t>858.457.3030</t>
  </si>
  <si>
    <t>Sataloff</t>
  </si>
  <si>
    <t>Ken JCC</t>
  </si>
  <si>
    <t>3330 Bonita Rd</t>
  </si>
  <si>
    <t>Chula Vista</t>
  </si>
  <si>
    <t>91910-3207</t>
  </si>
  <si>
    <t>619-425-2550</t>
  </si>
  <si>
    <t>Cohen</t>
  </si>
  <si>
    <t>Addison Penzak JCC of Silicon Valley</t>
  </si>
  <si>
    <t>14855 Oka Rd. Suite 201</t>
  </si>
  <si>
    <t>Los Gatos</t>
  </si>
  <si>
    <t>408-358-3636</t>
  </si>
  <si>
    <t>Osher Marin JCC</t>
  </si>
  <si>
    <t>200 N San Pedro Rd.</t>
  </si>
  <si>
    <t>San Rafael</t>
  </si>
  <si>
    <t>415-444-8000</t>
  </si>
  <si>
    <t>Bordy</t>
  </si>
  <si>
    <t>Bronfman Family JCC</t>
  </si>
  <si>
    <t>524 Chapala St.</t>
  </si>
  <si>
    <t>93101-3412</t>
  </si>
  <si>
    <t>805-957-1115</t>
  </si>
  <si>
    <t>Wolff Bolton</t>
  </si>
  <si>
    <t>Friends of Valley Cities JCC</t>
  </si>
  <si>
    <t>14701 Friar St.</t>
  </si>
  <si>
    <t>Van Nuys</t>
  </si>
  <si>
    <t>818-786-6310</t>
  </si>
  <si>
    <t>Rassler</t>
  </si>
  <si>
    <t>Contra Costa JCC</t>
  </si>
  <si>
    <t>2071 Tice Valley Blvd.</t>
  </si>
  <si>
    <t>Walnut Creek</t>
  </si>
  <si>
    <t>925-938-7800</t>
  </si>
  <si>
    <t>Marla</t>
  </si>
  <si>
    <t>Minden</t>
  </si>
  <si>
    <t>JCC at Milken</t>
  </si>
  <si>
    <t>22622 Vanowen St.</t>
  </si>
  <si>
    <t>West Hills</t>
  </si>
  <si>
    <t>818-464-3300</t>
  </si>
  <si>
    <t>Hyams</t>
  </si>
  <si>
    <t>JCC of Sonoma County</t>
  </si>
  <si>
    <t>3859 Montgomery Dr.</t>
  </si>
  <si>
    <t>707-528-4222</t>
  </si>
  <si>
    <t>Verna</t>
  </si>
  <si>
    <t>Fish</t>
  </si>
  <si>
    <t>Acting Executive Director</t>
  </si>
  <si>
    <t>Shalom Institute</t>
  </si>
  <si>
    <t>34342 Mulholland Hwy</t>
  </si>
  <si>
    <t>Malibu</t>
  </si>
  <si>
    <t>818-889-5500</t>
  </si>
  <si>
    <t>Beth</t>
  </si>
  <si>
    <t>Goodman</t>
  </si>
  <si>
    <t>Camp Tawonga</t>
  </si>
  <si>
    <t>131 Steuart St. Ste. 460</t>
  </si>
  <si>
    <t>415-543-2267</t>
  </si>
  <si>
    <t>Kaplan</t>
  </si>
  <si>
    <t>Boulder JCC</t>
  </si>
  <si>
    <t>3800 Kalmia Ave</t>
  </si>
  <si>
    <t>303-998-1900</t>
  </si>
  <si>
    <t>Adam</t>
  </si>
  <si>
    <t>Weisberg</t>
  </si>
  <si>
    <t>Robert E. Loup JCC</t>
  </si>
  <si>
    <t>350 South Dahlia St.</t>
  </si>
  <si>
    <t>303.399.2660</t>
  </si>
  <si>
    <t>Loewenstein</t>
  </si>
  <si>
    <t>Mandell JCC of Greater Hartford</t>
  </si>
  <si>
    <t>335 Bloomfield Ave</t>
  </si>
  <si>
    <t>West Hartford</t>
  </si>
  <si>
    <t>860-236-4571</t>
  </si>
  <si>
    <t>JCC of Greater New Haven</t>
  </si>
  <si>
    <t>360 Amity Rd.</t>
  </si>
  <si>
    <t>Woodbridge</t>
  </si>
  <si>
    <t>203-387-2522</t>
  </si>
  <si>
    <t>JCC of Western Connecticut</t>
  </si>
  <si>
    <t>PO Box 657</t>
  </si>
  <si>
    <t>Southbury</t>
  </si>
  <si>
    <t>203-267-3177</t>
  </si>
  <si>
    <t>JCC of Stamford</t>
  </si>
  <si>
    <t>1035 Newfield Ave</t>
  </si>
  <si>
    <t>203-322-7900</t>
  </si>
  <si>
    <t>Zwang</t>
  </si>
  <si>
    <t>Federation/JC Director</t>
  </si>
  <si>
    <t>Jewish Center for Community Services in Bridgeport, CT</t>
  </si>
  <si>
    <t>4200 Park Ave.</t>
  </si>
  <si>
    <t>Bridgeport</t>
  </si>
  <si>
    <t>Lipman</t>
  </si>
  <si>
    <t>Camp Laurelwood</t>
  </si>
  <si>
    <t>463 Summer Hill Road</t>
  </si>
  <si>
    <t>203-397-2267</t>
  </si>
  <si>
    <t>Eli</t>
  </si>
  <si>
    <t>Kornreich</t>
  </si>
  <si>
    <t>Bernard and Ruth Siegel JCC</t>
  </si>
  <si>
    <t>101 Garden of Eden Rd.</t>
  </si>
  <si>
    <t>302-478-5660</t>
  </si>
  <si>
    <t>Ruth Ann</t>
  </si>
  <si>
    <t>Ornstein</t>
  </si>
  <si>
    <t>Washington DC JCC</t>
  </si>
  <si>
    <t>1529 Sixteenth St. NW</t>
  </si>
  <si>
    <t>202-518-9400</t>
  </si>
  <si>
    <t>Ivy</t>
  </si>
  <si>
    <t>Harlev</t>
  </si>
  <si>
    <t>Adolph and Rose Levis JCC</t>
  </si>
  <si>
    <t>9801 Donna Klein Blvd.</t>
  </si>
  <si>
    <t>561-852-3200</t>
  </si>
  <si>
    <t>Arna Meyer</t>
  </si>
  <si>
    <t>Mickelson</t>
  </si>
  <si>
    <t>Jeanette and Harry Weinberg Center</t>
  </si>
  <si>
    <t>14620 S. Military Trl</t>
  </si>
  <si>
    <t>Delray Beach</t>
  </si>
  <si>
    <t>561-470-2000</t>
  </si>
  <si>
    <t>Schneer</t>
  </si>
  <si>
    <t>Alvin S. Gross Coral Springs JCC</t>
  </si>
  <si>
    <t>748 Riverside Dr.</t>
  </si>
  <si>
    <t>Coral Springs</t>
  </si>
  <si>
    <t>954.344.6790</t>
  </si>
  <si>
    <t>6501 W Sunrise Blvd</t>
  </si>
  <si>
    <t>Plantation</t>
  </si>
  <si>
    <t>954.792.6700</t>
  </si>
  <si>
    <t>Risa</t>
  </si>
  <si>
    <t>Demato</t>
  </si>
  <si>
    <t>David Posnack JCC</t>
  </si>
  <si>
    <t>5850 S. Pine Island Rd</t>
  </si>
  <si>
    <t>Davie</t>
  </si>
  <si>
    <t>954.434.0499</t>
  </si>
  <si>
    <t>Graw</t>
  </si>
  <si>
    <t>Jewish Community Alliance</t>
  </si>
  <si>
    <t>8505 San Jose Blvd.</t>
  </si>
  <si>
    <t>904.730.2100</t>
  </si>
  <si>
    <t>Ehrlich</t>
  </si>
  <si>
    <t>Michael-Ann Russell JCC</t>
  </si>
  <si>
    <t>18900 NE 25th Ave</t>
  </si>
  <si>
    <t>North Miami Beach</t>
  </si>
  <si>
    <t>305.932.4200</t>
  </si>
  <si>
    <t>Myron</t>
  </si>
  <si>
    <t>Flagler</t>
  </si>
  <si>
    <t>Dave and Mary Alper JCC</t>
  </si>
  <si>
    <t>11155 SW 112th Ave</t>
  </si>
  <si>
    <t>305.271.9000</t>
  </si>
  <si>
    <t>Bomzer</t>
  </si>
  <si>
    <t>Miami Beach JCC</t>
  </si>
  <si>
    <t>4221 Pine Tree JCC</t>
  </si>
  <si>
    <t>Miami Beach</t>
  </si>
  <si>
    <t>305.534.3206</t>
  </si>
  <si>
    <t>JCC of Greater Orlando Maitland campus</t>
  </si>
  <si>
    <t>PO Box 941508</t>
  </si>
  <si>
    <t>Maitland</t>
  </si>
  <si>
    <t>407.645.5933</t>
  </si>
  <si>
    <t>Alicia</t>
  </si>
  <si>
    <t>Rothschild</t>
  </si>
  <si>
    <t>JCC of Greater Orlando South Campus</t>
  </si>
  <si>
    <t>11200 S Apopka Vineland Rd</t>
  </si>
  <si>
    <t>Orland</t>
  </si>
  <si>
    <t>407.239.7411</t>
  </si>
  <si>
    <t>Tampa JCC/Federation Inc.</t>
  </si>
  <si>
    <t>13009 Community Campus Dr.</t>
  </si>
  <si>
    <t>813.264.9000</t>
  </si>
  <si>
    <t>Sher</t>
  </si>
  <si>
    <t>Branch Director</t>
  </si>
  <si>
    <t>Palm Beach JCC</t>
  </si>
  <si>
    <t>3151 N. Military Trail</t>
  </si>
  <si>
    <t>561.689.7700</t>
  </si>
  <si>
    <t>Gardner</t>
  </si>
  <si>
    <t>JCC Director</t>
  </si>
  <si>
    <t>Henry and Ida Hochman JCC</t>
  </si>
  <si>
    <t>8500 Jog Rd.</t>
  </si>
  <si>
    <t>Boynton Beach</t>
  </si>
  <si>
    <t>561.740.9000</t>
  </si>
  <si>
    <t>Wasch</t>
  </si>
  <si>
    <t>Harold &amp; Sylvia Kaplan JCC</t>
  </si>
  <si>
    <t>Rayman</t>
  </si>
  <si>
    <t>Associate Exec. Dir.</t>
  </si>
  <si>
    <t>Broward UJC</t>
  </si>
  <si>
    <t>5890 S Pine Island Rd.</t>
  </si>
  <si>
    <t>954-252-6900</t>
  </si>
  <si>
    <t>Jewish Federation of Lee and Charlotte Counties</t>
  </si>
  <si>
    <t>6237 E Presidential Ct. Suite E</t>
  </si>
  <si>
    <t>239.481.4449</t>
  </si>
  <si>
    <t>Stillman</t>
  </si>
  <si>
    <t>Jewish Federation of Greater Orlando</t>
  </si>
  <si>
    <t>851 N Maitland Ave.</t>
  </si>
  <si>
    <t>Isaacs</t>
  </si>
  <si>
    <t>Palm Beach Jewish Federation</t>
  </si>
  <si>
    <t>4601 Community Dr.</t>
  </si>
  <si>
    <t>561-242-6638</t>
  </si>
  <si>
    <t>Sarasota- Manatee Jewish Federation</t>
  </si>
  <si>
    <t>580 S McIntosh Rd</t>
  </si>
  <si>
    <t>941.378.5568</t>
  </si>
  <si>
    <t>Karmelin</t>
  </si>
  <si>
    <t>Palm Beach Commission on Jewish Education</t>
  </si>
  <si>
    <t>3267 N Military Trail</t>
  </si>
  <si>
    <t>561-640-0700</t>
  </si>
  <si>
    <t>Tzvlowitz</t>
  </si>
  <si>
    <t>Palm Beach Jewish Family and Children`s Services</t>
  </si>
  <si>
    <t>5841 Corporate Way Suite 200</t>
  </si>
  <si>
    <t>561-984-1991</t>
  </si>
  <si>
    <t>Schauder</t>
  </si>
  <si>
    <t>Exec Director</t>
  </si>
  <si>
    <t>Community Campus Corporation of Palm Beach</t>
  </si>
  <si>
    <t>Ellie</t>
  </si>
  <si>
    <t>Shiffman</t>
  </si>
  <si>
    <t>Arthur Meyer Academy</t>
  </si>
  <si>
    <t>3261 N Military Trail</t>
  </si>
  <si>
    <t>561-686-6520</t>
  </si>
  <si>
    <t>Palm Beach Jewish Residential &amp; Family Services</t>
  </si>
  <si>
    <t>5841 Corporate Way</t>
  </si>
  <si>
    <t>561-242-4887</t>
  </si>
  <si>
    <t>Senior Center, Inc., Daniel D Cantor Senior Center; Leo Goodman Senior Comp</t>
  </si>
  <si>
    <t>5000 Nob Hill Road</t>
  </si>
  <si>
    <t>Sunrise</t>
  </si>
  <si>
    <t>Neil</t>
  </si>
  <si>
    <t>Newstein</t>
  </si>
  <si>
    <t>Joseph Meyerhoff Senior Center</t>
  </si>
  <si>
    <t>308 Taft Street</t>
  </si>
  <si>
    <t>Hollywood</t>
  </si>
  <si>
    <t>954-966-9805</t>
  </si>
  <si>
    <t>President, CEO</t>
  </si>
  <si>
    <t>Marcus JCC of Atlanta</t>
  </si>
  <si>
    <t>5342 Tilly Mill Rd</t>
  </si>
  <si>
    <t>Dunwoody</t>
  </si>
  <si>
    <t>770.396.3250</t>
  </si>
  <si>
    <t>Zaban/ Blank Branch</t>
  </si>
  <si>
    <t>Wise</t>
  </si>
  <si>
    <t>Shirley Blumenthal Park Branch</t>
  </si>
  <si>
    <t>2509 Post Oak Tritt Rd.</t>
  </si>
  <si>
    <t>770.971.8901</t>
  </si>
  <si>
    <t>Augusta JCC</t>
  </si>
  <si>
    <t>898 Weinberger Way</t>
  </si>
  <si>
    <t>706.228.3636</t>
  </si>
  <si>
    <t>Jewish Educational Alliance</t>
  </si>
  <si>
    <t>PO Box 23527</t>
  </si>
  <si>
    <t>912.355.8111</t>
  </si>
  <si>
    <t>Leah</t>
  </si>
  <si>
    <t>Ronen</t>
  </si>
  <si>
    <t>JCC of Chicago</t>
  </si>
  <si>
    <t>30 S. Wells St.</t>
  </si>
  <si>
    <t>312.357.4700</t>
  </si>
  <si>
    <t>Solender</t>
  </si>
  <si>
    <t>Florence G Heller JCC</t>
  </si>
  <si>
    <t>524 W. Melrose Ave.</t>
  </si>
  <si>
    <t>773.871.6780</t>
  </si>
  <si>
    <t>Levine</t>
  </si>
  <si>
    <t>Hyde Park JCC</t>
  </si>
  <si>
    <t>5200 S Hyde Park Blvd.</t>
  </si>
  <si>
    <t>773.753.3080</t>
  </si>
  <si>
    <t>Neuman</t>
  </si>
  <si>
    <t>Regional Director</t>
  </si>
  <si>
    <t>Bernard Horwich JCC</t>
  </si>
  <si>
    <t>3003 W. Touhy Ave</t>
  </si>
  <si>
    <t>773.761.9100</t>
  </si>
  <si>
    <t>Mayer Kaplan JCC</t>
  </si>
  <si>
    <t>5050 W. Church St.</t>
  </si>
  <si>
    <t>Skokie</t>
  </si>
  <si>
    <t>847.763.3690</t>
  </si>
  <si>
    <t>Bernard Weinger JCC</t>
  </si>
  <si>
    <t>300 Rever Dr.</t>
  </si>
  <si>
    <t>Northbrooke</t>
  </si>
  <si>
    <t>847.205.9480</t>
  </si>
  <si>
    <t>Woodland Commons</t>
  </si>
  <si>
    <t>370 Half Day Rd.</t>
  </si>
  <si>
    <t>Buffalo Grove</t>
  </si>
  <si>
    <t>847.955.0005</t>
  </si>
  <si>
    <t>Adina</t>
  </si>
  <si>
    <t>Torchman</t>
  </si>
  <si>
    <t>Regional Director (Nothern)</t>
  </si>
  <si>
    <t>Anita M. Stone JCC</t>
  </si>
  <si>
    <t>3400 St. W. 196th</t>
  </si>
  <si>
    <t>Flossmoor</t>
  </si>
  <si>
    <t>708.799.7650</t>
  </si>
  <si>
    <t>Florence Weiss Perlstein Vacation Center</t>
  </si>
  <si>
    <t>P.O Box 104</t>
  </si>
  <si>
    <t>Lake Delton</t>
  </si>
  <si>
    <t>608.253.1681 winter- 847.412.5577</t>
  </si>
  <si>
    <t>Fleischer</t>
  </si>
  <si>
    <t>Regional Director (southern)</t>
  </si>
  <si>
    <t>Z. Frank Apachi Day Camp</t>
  </si>
  <si>
    <t>3050 Woodridge Dr</t>
  </si>
  <si>
    <t>847.272.7050</t>
  </si>
  <si>
    <t>Camp Chi</t>
  </si>
  <si>
    <t>608.253.1681 winter- 847.272.2301</t>
  </si>
  <si>
    <t>Pritzker Center for Jewish Education</t>
  </si>
  <si>
    <t>847.763.3620</t>
  </si>
  <si>
    <t>Levin</t>
  </si>
  <si>
    <t>Ezra Multi-Service Center</t>
  </si>
  <si>
    <t>909 W. Wilson Ave.</t>
  </si>
  <si>
    <t>773.275.0866</t>
  </si>
  <si>
    <t>JCC of Indianapolis</t>
  </si>
  <si>
    <t>6701 Hoover Rd.</t>
  </si>
  <si>
    <t>317.251.9467</t>
  </si>
  <si>
    <t>Anita</t>
  </si>
  <si>
    <t>Weinstein</t>
  </si>
  <si>
    <t>JCC of Greater Kansas City</t>
  </si>
  <si>
    <t>5801 W. 115th St. Suite 101</t>
  </si>
  <si>
    <t>Overland Park</t>
  </si>
  <si>
    <t>913.327.8000</t>
  </si>
  <si>
    <t>Ian</t>
  </si>
  <si>
    <t>Jaffee</t>
  </si>
  <si>
    <t>Kansas City Community Campus</t>
  </si>
  <si>
    <t>Schreiber</t>
  </si>
  <si>
    <t>Hyman Brand Academy</t>
  </si>
  <si>
    <t>Jewish Family Services of Kansas City</t>
  </si>
  <si>
    <t>JCC of Louisville</t>
  </si>
  <si>
    <t>3600 Dutchmans Ln</t>
  </si>
  <si>
    <t>502.459.0660</t>
  </si>
  <si>
    <t>New Orleans JCC</t>
  </si>
  <si>
    <t>5342 St. Charles Ave.</t>
  </si>
  <si>
    <t>504.897.0143</t>
  </si>
  <si>
    <t>Stratton</t>
  </si>
  <si>
    <t>Goldring-Woldenberg JCC- Metairie</t>
  </si>
  <si>
    <t>3747 W. Esplanade Ave.</t>
  </si>
  <si>
    <t>Metairie</t>
  </si>
  <si>
    <t>504.887.5158</t>
  </si>
  <si>
    <t>Arlene</t>
  </si>
  <si>
    <t>Barron</t>
  </si>
  <si>
    <t>Jewish Community Alliance- Portland</t>
  </si>
  <si>
    <t>57 Ashmont St.</t>
  </si>
  <si>
    <t>207.772.1959</t>
  </si>
  <si>
    <t>JCC of Greater Baltimore- Owings Mills</t>
  </si>
  <si>
    <t>3506 Gwynnbrook Ave.</t>
  </si>
  <si>
    <t>Owings Mills</t>
  </si>
  <si>
    <t>410.356.5200</t>
  </si>
  <si>
    <t>Sandberg</t>
  </si>
  <si>
    <t>JCC of Greater Baltimore</t>
  </si>
  <si>
    <t>5700 Park Heights Ave.</t>
  </si>
  <si>
    <t>410.542.4900</t>
  </si>
  <si>
    <t>Saplosky</t>
  </si>
  <si>
    <t>JCC of Greater Washington</t>
  </si>
  <si>
    <t>6125 Montrose Rd.</t>
  </si>
  <si>
    <t>Rockville</t>
  </si>
  <si>
    <t>301.881.0100</t>
  </si>
  <si>
    <t>Capital Camp &amp; Retreat Center</t>
  </si>
  <si>
    <t>12230 Wilkins Ave.</t>
  </si>
  <si>
    <t>301.468.2267</t>
  </si>
  <si>
    <t>Toni</t>
  </si>
  <si>
    <t>JCCs of Greater Boston</t>
  </si>
  <si>
    <t>333 Nahanton St.</t>
  </si>
  <si>
    <t>Newton Centre</t>
  </si>
  <si>
    <t>617.558.6500</t>
  </si>
  <si>
    <t>Executive Vice President</t>
  </si>
  <si>
    <t>Leventhal-Sidman JCC</t>
  </si>
  <si>
    <t>617.558.6522</t>
  </si>
  <si>
    <t>Sokoll</t>
  </si>
  <si>
    <t>Brookline/Brighton Early Learning Center</t>
  </si>
  <si>
    <t>50 Southerland Rd.</t>
  </si>
  <si>
    <t>Brighton</t>
  </si>
  <si>
    <t>617.278.2950</t>
  </si>
  <si>
    <t>Esther</t>
  </si>
  <si>
    <t>Hanig</t>
  </si>
  <si>
    <t>Metrowest JCC</t>
  </si>
  <si>
    <t>76 Salem End Rd.</t>
  </si>
  <si>
    <t>508.879.3300</t>
  </si>
  <si>
    <t>Striar JCC -Fireman Campus</t>
  </si>
  <si>
    <t>445 Central St.</t>
  </si>
  <si>
    <t>Stoughton</t>
  </si>
  <si>
    <t>781.341.2016</t>
  </si>
  <si>
    <t>JCC of the North Shore</t>
  </si>
  <si>
    <t>4 Community Rd.</t>
  </si>
  <si>
    <t>Marblehead</t>
  </si>
  <si>
    <t>781.631.8330</t>
  </si>
  <si>
    <t>Springfield JCC</t>
  </si>
  <si>
    <t>1160 Dickinson St.</t>
  </si>
  <si>
    <t>413.739.4715</t>
  </si>
  <si>
    <t>Frankston</t>
  </si>
  <si>
    <t>Westboro Area JCC</t>
  </si>
  <si>
    <t>45 Oak St.</t>
  </si>
  <si>
    <t>Westboro</t>
  </si>
  <si>
    <t>508.366.6121</t>
  </si>
  <si>
    <t>Dindas</t>
  </si>
  <si>
    <t>633 Salisbury St.</t>
  </si>
  <si>
    <t>508.756.7109</t>
  </si>
  <si>
    <t>Borer</t>
  </si>
  <si>
    <t>Central Director</t>
  </si>
  <si>
    <t>JCC of Washtenaw County</t>
  </si>
  <si>
    <t>2935 Birch Hollow Dr.</t>
  </si>
  <si>
    <t>734.971.5126</t>
  </si>
  <si>
    <t>Holdstein</t>
  </si>
  <si>
    <t>JCC of Metro Detroit</t>
  </si>
  <si>
    <t>6600 W Maple Rd.</t>
  </si>
  <si>
    <t>West Bloomfield</t>
  </si>
  <si>
    <t>248.661.1000</t>
  </si>
  <si>
    <t>Bash</t>
  </si>
  <si>
    <t>Jimmy Prentis Morris Branch</t>
  </si>
  <si>
    <t>15110 W. Ten Mile Rd.</t>
  </si>
  <si>
    <t>248.967.4030</t>
  </si>
  <si>
    <t>Lit</t>
  </si>
  <si>
    <t>Fresh Air Society/ Tamarack Camps</t>
  </si>
  <si>
    <t>6735 Telegraph Rd. Suite 380</t>
  </si>
  <si>
    <t>Bloomfield Hills</t>
  </si>
  <si>
    <t>248.647.1100</t>
  </si>
  <si>
    <t>Leslee</t>
  </si>
  <si>
    <t>Magidson</t>
  </si>
  <si>
    <t>Managing Director</t>
  </si>
  <si>
    <t>Sabes JCC</t>
  </si>
  <si>
    <t>4330 Cedar Lake Rd. S</t>
  </si>
  <si>
    <t>St. Louis Park</t>
  </si>
  <si>
    <t>952.381.3400</t>
  </si>
  <si>
    <t>Jonah</t>
  </si>
  <si>
    <t>Geller</t>
  </si>
  <si>
    <t>JCC of the Greater St. Paul Area</t>
  </si>
  <si>
    <t>1375 St. Paul Ave.</t>
  </si>
  <si>
    <t>St. Paul</t>
  </si>
  <si>
    <t>651.698.0751</t>
  </si>
  <si>
    <t>Wachs</t>
  </si>
  <si>
    <t>JCC St. Louis</t>
  </si>
  <si>
    <t>2 Millstone Campus Dr.</t>
  </si>
  <si>
    <t>314.432.5700</t>
  </si>
  <si>
    <t>Dori</t>
  </si>
  <si>
    <t>Denelle</t>
  </si>
  <si>
    <t>Carolyn H Wohl Building</t>
  </si>
  <si>
    <t>Wittels</t>
  </si>
  <si>
    <t>Marilyn Fox Building</t>
  </si>
  <si>
    <t>16801 Baxter Rd.</t>
  </si>
  <si>
    <t>Chesterfield</t>
  </si>
  <si>
    <t>Omaha JCC</t>
  </si>
  <si>
    <t>333 S 132nd St.</t>
  </si>
  <si>
    <t>402-334-8200</t>
  </si>
  <si>
    <t>Omaha Federation</t>
  </si>
  <si>
    <t>333 S. 132nd St.</t>
  </si>
  <si>
    <t>Aizenberg</t>
  </si>
  <si>
    <t>JCC of Southern Nevada</t>
  </si>
  <si>
    <t>4794 S. Eastern Ave. Suite C</t>
  </si>
  <si>
    <t>702.794.0090</t>
  </si>
  <si>
    <t>JCC ED</t>
  </si>
  <si>
    <t>Central New Jersey JCC</t>
  </si>
  <si>
    <t>1391 Martine Ave.</t>
  </si>
  <si>
    <t>908.889.8800</t>
  </si>
  <si>
    <t>Goldstein</t>
  </si>
  <si>
    <t>Bayonne JCC</t>
  </si>
  <si>
    <t>1050 Kennedy Blvd</t>
  </si>
  <si>
    <t>Barak</t>
  </si>
  <si>
    <t>Hermann</t>
  </si>
  <si>
    <t>Shimon and Sara Birnbaum JCC</t>
  </si>
  <si>
    <t>775 Talamini Rd.</t>
  </si>
  <si>
    <t>Bridgewater</t>
  </si>
  <si>
    <t>908.725.6994</t>
  </si>
  <si>
    <t>Goldberg</t>
  </si>
  <si>
    <t>Betty &amp; Milton Katz</t>
  </si>
  <si>
    <t>1301 Springdale Rd.</t>
  </si>
  <si>
    <t>856.424.4444</t>
  </si>
  <si>
    <t>Ferbank</t>
  </si>
  <si>
    <t>YM-YWHA Division of the Jewish Federation of Greater Clifton/Passaic</t>
  </si>
  <si>
    <t>199 Scoles Ave.</t>
  </si>
  <si>
    <t>Clifton</t>
  </si>
  <si>
    <t>973.779.2980</t>
  </si>
  <si>
    <t>Les</t>
  </si>
  <si>
    <t>JCC of Greater Monmouth County</t>
  </si>
  <si>
    <t>100 Grant Ave.</t>
  </si>
  <si>
    <t>Deal Park</t>
  </si>
  <si>
    <t>732.531.9100</t>
  </si>
  <si>
    <t>Mandel</t>
  </si>
  <si>
    <t>NJ Y Camps</t>
  </si>
  <si>
    <t>21 Plymouth St.</t>
  </si>
  <si>
    <t>Fairfield</t>
  </si>
  <si>
    <t>973.575.3333</t>
  </si>
  <si>
    <t>Rosenfeld</t>
  </si>
  <si>
    <t>Nah-Jee-Wah, Cedar Lake, Teen Camp</t>
  </si>
  <si>
    <t>570 Sawkill Rd.</t>
  </si>
  <si>
    <t>Milford</t>
  </si>
  <si>
    <t>570.296.8596</t>
  </si>
  <si>
    <t>Leonard</t>
  </si>
  <si>
    <t>Camp Nesher, Round Lake Camp and Kislak Adult Camp</t>
  </si>
  <si>
    <t>HCR 60 Box 2000 RTE 247</t>
  </si>
  <si>
    <t>Lake Como</t>
  </si>
  <si>
    <t>570.798.2551</t>
  </si>
  <si>
    <t>JCC of Western Monmouth</t>
  </si>
  <si>
    <t>100 Route 9 N</t>
  </si>
  <si>
    <t>Manalapan</t>
  </si>
  <si>
    <t>732.683.9300</t>
  </si>
  <si>
    <t>Atlantic County JCC</t>
  </si>
  <si>
    <t>501 N. Jerome Ave.</t>
  </si>
  <si>
    <t>Margate City</t>
  </si>
  <si>
    <t>609.822.1167</t>
  </si>
  <si>
    <t>Shelley</t>
  </si>
  <si>
    <t>Feingold</t>
  </si>
  <si>
    <t>Outreach Director</t>
  </si>
  <si>
    <t>JCC on the Palisades</t>
  </si>
  <si>
    <t>411 E. Clinton Ave.</t>
  </si>
  <si>
    <t>Tenafly</t>
  </si>
  <si>
    <t>201.569.7900</t>
  </si>
  <si>
    <t>Fox</t>
  </si>
  <si>
    <t>JCC of the Delaware Valley</t>
  </si>
  <si>
    <t>4 Princess Rd, Suite 206</t>
  </si>
  <si>
    <t>Lawrenceville</t>
  </si>
  <si>
    <t>609-219-9550</t>
  </si>
  <si>
    <t>Avi</t>
  </si>
  <si>
    <t>Lewinson</t>
  </si>
  <si>
    <t>Bergen County JCC</t>
  </si>
  <si>
    <t>605 Pasack Rd.</t>
  </si>
  <si>
    <t>Township of Washington</t>
  </si>
  <si>
    <t>201.666.6610</t>
  </si>
  <si>
    <t>YM-YWHA of North Jersey</t>
  </si>
  <si>
    <t>One Pike Dr.</t>
  </si>
  <si>
    <t>973.595.0100</t>
  </si>
  <si>
    <t>Benus</t>
  </si>
  <si>
    <t>Leon and Toby Cooperman JCC</t>
  </si>
  <si>
    <t>760 Northfield Ave.</t>
  </si>
  <si>
    <t>West Orange</t>
  </si>
  <si>
    <t>973.736.3200</t>
  </si>
  <si>
    <t>Lautenberg Family JCC</t>
  </si>
  <si>
    <t>901 Route 10 E</t>
  </si>
  <si>
    <t>Whippany</t>
  </si>
  <si>
    <t>973.428.9300</t>
  </si>
  <si>
    <t>Campus for Jewish Life</t>
  </si>
  <si>
    <t>PO Box 1359</t>
  </si>
  <si>
    <t>Highland Park</t>
  </si>
  <si>
    <t>732.249.2221</t>
  </si>
  <si>
    <t>Jewish Community Campus Development Council</t>
  </si>
  <si>
    <t>609.219.0555</t>
  </si>
  <si>
    <t>JCC of Middlesex County</t>
  </si>
  <si>
    <t>1775 Oak Tree Rd</t>
  </si>
  <si>
    <t>Edison</t>
  </si>
  <si>
    <t>732.494.3232</t>
  </si>
  <si>
    <t>JCC Metrowest</t>
  </si>
  <si>
    <t>973.530.3400</t>
  </si>
  <si>
    <t>Dorothy</t>
  </si>
  <si>
    <t>Rubinstein</t>
  </si>
  <si>
    <t>Deal Sephardic Community Center</t>
  </si>
  <si>
    <t>Hopkins</t>
  </si>
  <si>
    <t>Central New Jersey Fed.</t>
  </si>
  <si>
    <t>908.889.5335</t>
  </si>
  <si>
    <t>Jewish Federation of Greater Clifton-Passaic and Vicinity</t>
  </si>
  <si>
    <t>Stanley</t>
  </si>
  <si>
    <t>Stone</t>
  </si>
  <si>
    <t>Ronald Gardenswartz JCC of Greater Albuquerque</t>
  </si>
  <si>
    <t>5520 Wyoming Blvd.</t>
  </si>
  <si>
    <t>Alburquerque</t>
  </si>
  <si>
    <t>505.332.0565</t>
  </si>
  <si>
    <t>JCC of Greater Rochester</t>
  </si>
  <si>
    <t>1200 Edgewood Ave.</t>
  </si>
  <si>
    <t>585.461.2000</t>
  </si>
  <si>
    <t>JCC of Greater Buffalo- Benderson Family Building</t>
  </si>
  <si>
    <t>2640 N Forest. Rd.</t>
  </si>
  <si>
    <t>Getzville</t>
  </si>
  <si>
    <t>716.688.4033</t>
  </si>
  <si>
    <t>Berkowitz</t>
  </si>
  <si>
    <t>Sidney Albert Albany JCC</t>
  </si>
  <si>
    <t>340 Whitehall Rd.</t>
  </si>
  <si>
    <t>518.438.6651</t>
  </si>
  <si>
    <t>Feldman</t>
  </si>
  <si>
    <t>JCC of Binghamton</t>
  </si>
  <si>
    <t>500 Clubhouse Rd.</t>
  </si>
  <si>
    <t>Vestal</t>
  </si>
  <si>
    <t>607.724.2417</t>
  </si>
  <si>
    <t>Shpeen</t>
  </si>
  <si>
    <t>JCC of Greater Buffalo- Holland Family Building</t>
  </si>
  <si>
    <t>787 Delaware Ave.</t>
  </si>
  <si>
    <t>716.886.3145</t>
  </si>
  <si>
    <t>Brumer</t>
  </si>
  <si>
    <t>Newburgh JCC</t>
  </si>
  <si>
    <t>68 Stewart Ave.</t>
  </si>
  <si>
    <t>845.561.6602</t>
  </si>
  <si>
    <t>JCC Rockland</t>
  </si>
  <si>
    <t>900 Route 45 Suite 15</t>
  </si>
  <si>
    <t>New City</t>
  </si>
  <si>
    <t>843.362.4400</t>
  </si>
  <si>
    <t>Ross</t>
  </si>
  <si>
    <t>JCC of Schenectady</t>
  </si>
  <si>
    <t>2565 Balltown Rd.</t>
  </si>
  <si>
    <t>Niskayuna</t>
  </si>
  <si>
    <t>518.377.8803</t>
  </si>
  <si>
    <t>Kirschtel</t>
  </si>
  <si>
    <t>Riverdale YM-YWHA</t>
  </si>
  <si>
    <t>5625 Arlington Ave.</t>
  </si>
  <si>
    <t>Bronx</t>
  </si>
  <si>
    <t>718.548.8200</t>
  </si>
  <si>
    <t>Alex</t>
  </si>
  <si>
    <t>Hallenstein</t>
  </si>
  <si>
    <t>Boro Park YM-YWHA</t>
  </si>
  <si>
    <t>4912 14th Ave.</t>
  </si>
  <si>
    <t>Brooklyn</t>
  </si>
  <si>
    <t>718.438.5921</t>
  </si>
  <si>
    <t>Jaffe</t>
  </si>
  <si>
    <t>Shorefront YM-YWHA of Brighton Manhattan Beach</t>
  </si>
  <si>
    <t>3300 Coney Island Ave.</t>
  </si>
  <si>
    <t>718.646.1444</t>
  </si>
  <si>
    <t>Kastel</t>
  </si>
  <si>
    <t>Edith &amp; Carl Marks JCH of Bensonhurst</t>
  </si>
  <si>
    <t>7802 Bay Pkwy</t>
  </si>
  <si>
    <t>718.331.6800</t>
  </si>
  <si>
    <t>Sephardic Community Center</t>
  </si>
  <si>
    <t>1901 Ocean Pkwy</t>
  </si>
  <si>
    <t>718.627.4300</t>
  </si>
  <si>
    <t>Wasserman</t>
  </si>
  <si>
    <t>Kings Bay YM-YWHA</t>
  </si>
  <si>
    <t>3495 Nostrand Ave.</t>
  </si>
  <si>
    <t>718.648.7703</t>
  </si>
  <si>
    <t>Executive</t>
  </si>
  <si>
    <t>Witkes</t>
  </si>
  <si>
    <t>Barry &amp; Florence Friedberg JCC</t>
  </si>
  <si>
    <t>15 Neil Ct.</t>
  </si>
  <si>
    <t>Oceanside</t>
  </si>
  <si>
    <t>516.766.4341</t>
  </si>
  <si>
    <t>Petlakh</t>
  </si>
  <si>
    <t>Barry &amp; Florence Friedberg JCC- Long Beach</t>
  </si>
  <si>
    <t>310 National Blvd.</t>
  </si>
  <si>
    <t>516.431.2929</t>
  </si>
  <si>
    <t>Arnie</t>
  </si>
  <si>
    <t>Preminger</t>
  </si>
  <si>
    <t>JCC of the Greater Five Towns</t>
  </si>
  <si>
    <t>207 Grove Ave.</t>
  </si>
  <si>
    <t>Cedarhurst</t>
  </si>
  <si>
    <t>516.569.6733</t>
  </si>
  <si>
    <t>Sid Jacobson JCC</t>
  </si>
  <si>
    <t>300 Forest Dr.</t>
  </si>
  <si>
    <t>East Hills</t>
  </si>
  <si>
    <t>516.484.1545</t>
  </si>
  <si>
    <t>Rina</t>
  </si>
  <si>
    <t>Shkolnik</t>
  </si>
  <si>
    <t>Mid-Island Y JCC</t>
  </si>
  <si>
    <t>45 Manetto Hill Rd.</t>
  </si>
  <si>
    <t>516.822.3535</t>
  </si>
  <si>
    <t>Bender</t>
  </si>
  <si>
    <t>Suffolk Y JCC</t>
  </si>
  <si>
    <t>74 Happauge Rd.</t>
  </si>
  <si>
    <t>Commack</t>
  </si>
  <si>
    <t>631.462.9800</t>
  </si>
  <si>
    <t>Ashkenazy</t>
  </si>
  <si>
    <t>Suffolk Y JCC -East</t>
  </si>
  <si>
    <t>385 Old Town Rd.</t>
  </si>
  <si>
    <t>Port Jefferson Station</t>
  </si>
  <si>
    <t>Joel</t>
  </si>
  <si>
    <t>Block</t>
  </si>
  <si>
    <t>JCC in Manhattan</t>
  </si>
  <si>
    <t>334 Amsterdam Ave.</t>
  </si>
  <si>
    <t>646.505.4444</t>
  </si>
  <si>
    <t>YM-YWHA of Washington Heights &amp; Inwood</t>
  </si>
  <si>
    <t>54 Nagle Ave.</t>
  </si>
  <si>
    <t>212.569.6200</t>
  </si>
  <si>
    <t>Levitt</t>
  </si>
  <si>
    <t>92nd St. Y</t>
  </si>
  <si>
    <t>1395 Lexington Ave.</t>
  </si>
  <si>
    <t>212.415.5500</t>
  </si>
  <si>
    <t>Englisher</t>
  </si>
  <si>
    <t>Central Queens YM-YWHA</t>
  </si>
  <si>
    <t>67-09 108th St.</t>
  </si>
  <si>
    <t>Forest Hills</t>
  </si>
  <si>
    <t>718.268.5011</t>
  </si>
  <si>
    <t>Sol</t>
  </si>
  <si>
    <t>Adler</t>
  </si>
  <si>
    <t>Samuel Field/Bay Terrace YM-YWHA</t>
  </si>
  <si>
    <t>58-20 Little Neck Pkwy</t>
  </si>
  <si>
    <t>Little Neck</t>
  </si>
  <si>
    <t>718.225.6750</t>
  </si>
  <si>
    <t>Samuel Field/Bay Terrace YM-YWHA- Bay Terrace</t>
  </si>
  <si>
    <t>212-00 23rd Ave.</t>
  </si>
  <si>
    <t>Bayside</t>
  </si>
  <si>
    <t>718.423.6111</t>
  </si>
  <si>
    <t>JCC of Staten Island</t>
  </si>
  <si>
    <t>1466 Manor Rd.</t>
  </si>
  <si>
    <t>Staten Island</t>
  </si>
  <si>
    <t>718.475.5200</t>
  </si>
  <si>
    <t>Avis/South Shore JCC</t>
  </si>
  <si>
    <t>1297 Arthur Kill Rd.</t>
  </si>
  <si>
    <t>718.356.8113</t>
  </si>
  <si>
    <t>Sorkin</t>
  </si>
  <si>
    <t>JCC of the Hudson</t>
  </si>
  <si>
    <t>371 S Broadway</t>
  </si>
  <si>
    <t>914.366.7898</t>
  </si>
  <si>
    <t>Richard G. Rosenthal JCC</t>
  </si>
  <si>
    <t>600 Bear Ridge Rd.</t>
  </si>
  <si>
    <t>Pleasantville</t>
  </si>
  <si>
    <t>914.741.0333</t>
  </si>
  <si>
    <t>Hassid</t>
  </si>
  <si>
    <t>JCC of Mid-Westchester</t>
  </si>
  <si>
    <t>999 Wilmot Rd.</t>
  </si>
  <si>
    <t>Scarsdale</t>
  </si>
  <si>
    <t>914.472.3300</t>
  </si>
  <si>
    <t>Aronowitz-Witkes</t>
  </si>
  <si>
    <t>Hebrew Educational Society</t>
  </si>
  <si>
    <t>9502 Seaview Ave.</t>
  </si>
  <si>
    <t>718.241.3000</t>
  </si>
  <si>
    <t>Young</t>
  </si>
  <si>
    <t>The Educational Alliance</t>
  </si>
  <si>
    <t>197 E Broadway</t>
  </si>
  <si>
    <t>212.780.2300</t>
  </si>
  <si>
    <t>Marc</t>
  </si>
  <si>
    <t>Arje</t>
  </si>
  <si>
    <t>14th St. Educatonal Alliance</t>
  </si>
  <si>
    <t>344 E 14th St.</t>
  </si>
  <si>
    <t>212.780.0800</t>
  </si>
  <si>
    <t>Asheville JCC</t>
  </si>
  <si>
    <t>236 Charlotte St.</t>
  </si>
  <si>
    <t>828.253.0701</t>
  </si>
  <si>
    <t>Hazan Arnoff</t>
  </si>
  <si>
    <t>Shalom Park JCC</t>
  </si>
  <si>
    <t>5007 Providence Rd. Ste. 105</t>
  </si>
  <si>
    <t>704.366.5007</t>
  </si>
  <si>
    <t>Heather</t>
  </si>
  <si>
    <t>Whitaker Goldstein</t>
  </si>
  <si>
    <t>Raleigh-Cary JCC</t>
  </si>
  <si>
    <t>12804 Norwood Rd.</t>
  </si>
  <si>
    <t>919.676.6170</t>
  </si>
  <si>
    <t>Berman</t>
  </si>
  <si>
    <t>Durham-Chapel Hill Jewish Federation</t>
  </si>
  <si>
    <t>3622 Lyckan Pkwy Suite 6002</t>
  </si>
  <si>
    <t>Durham</t>
  </si>
  <si>
    <t>919.489.5335</t>
  </si>
  <si>
    <t>Schwartz</t>
  </si>
  <si>
    <t>Center Director</t>
  </si>
  <si>
    <t>Jerry Shaw JCC of Akron</t>
  </si>
  <si>
    <t>750 White Pond Dr.</t>
  </si>
  <si>
    <t>330.867.7850</t>
  </si>
  <si>
    <t>Ziva</t>
  </si>
  <si>
    <t>Starr Raney</t>
  </si>
  <si>
    <t>Canton JCC</t>
  </si>
  <si>
    <t>2631 Harvard Ave. NW</t>
  </si>
  <si>
    <t>330.453.0132</t>
  </si>
  <si>
    <t>Rockoff</t>
  </si>
  <si>
    <t>JCC of Cincinnati</t>
  </si>
  <si>
    <t>7420 Montgomery Rd.</t>
  </si>
  <si>
    <t>513.761.7500</t>
  </si>
  <si>
    <t>bonnie</t>
  </si>
  <si>
    <t>Manello</t>
  </si>
  <si>
    <t>COO</t>
  </si>
  <si>
    <t>JCC of Cleveland</t>
  </si>
  <si>
    <t>26001 S Woodland Rd</t>
  </si>
  <si>
    <t>Beachwood</t>
  </si>
  <si>
    <t>216.831.0700</t>
  </si>
  <si>
    <t>Leo Yassenoff JCC of Greater Columbus</t>
  </si>
  <si>
    <t>1125 College Ave</t>
  </si>
  <si>
    <t>614.231.2731</t>
  </si>
  <si>
    <t>Hyman</t>
  </si>
  <si>
    <t>Marjorie and Oscar Boonshoft Center for Jewish Culture and Education</t>
  </si>
  <si>
    <t>525 Versailles Dr.</t>
  </si>
  <si>
    <t>937.853.0372</t>
  </si>
  <si>
    <t>Folkerth</t>
  </si>
  <si>
    <t>JCC of Toledo</t>
  </si>
  <si>
    <t>6465 Sylvania Ave.</t>
  </si>
  <si>
    <t>Sylvania</t>
  </si>
  <si>
    <t>419.885.4485</t>
  </si>
  <si>
    <t>JCC Center Director</t>
  </si>
  <si>
    <t>Youngstown JCC</t>
  </si>
  <si>
    <t>505 Gypsy Ln.</t>
  </si>
  <si>
    <t>330.746.3250</t>
  </si>
  <si>
    <t>Beren</t>
  </si>
  <si>
    <t>Camp Livingston</t>
  </si>
  <si>
    <t>8401 Montgomery Rd</t>
  </si>
  <si>
    <t>513.793.5554</t>
  </si>
  <si>
    <t>Kessler</t>
  </si>
  <si>
    <t>Charles Schusterman JCC</t>
  </si>
  <si>
    <t>2021 E. 71st St.</t>
  </si>
  <si>
    <t>918.495.1111</t>
  </si>
  <si>
    <t>Oklahoma City Jewish Federation</t>
  </si>
  <si>
    <t>710 West Wilshire</t>
  </si>
  <si>
    <t>Oklahoma City</t>
  </si>
  <si>
    <t>405.848.3132</t>
  </si>
  <si>
    <t>Abels</t>
  </si>
  <si>
    <t>Allentown JCC</t>
  </si>
  <si>
    <t>702 N 22nd St.</t>
  </si>
  <si>
    <t>610.435.3571</t>
  </si>
  <si>
    <t>Jewish Memorial Center</t>
  </si>
  <si>
    <t>1308 17th St.</t>
  </si>
  <si>
    <t>Altoona</t>
  </si>
  <si>
    <t>814.944.4072</t>
  </si>
  <si>
    <t>Kranitz</t>
  </si>
  <si>
    <t>Jewish Community Alliance of Lancaster</t>
  </si>
  <si>
    <t>2120 Oregon Pike</t>
  </si>
  <si>
    <t>717.569.7352</t>
  </si>
  <si>
    <t>Charles &amp; Elizabeth Gershman</t>
  </si>
  <si>
    <t>401 S. Broad St.</t>
  </si>
  <si>
    <t>Pennsylvania</t>
  </si>
  <si>
    <t>215.545.4400</t>
  </si>
  <si>
    <t>Samantha</t>
  </si>
  <si>
    <t>Besnoff</t>
  </si>
  <si>
    <t>Kevy K. &amp; Hortense M. Kaiserman JCC</t>
  </si>
  <si>
    <t>45 Haverford Rd</t>
  </si>
  <si>
    <t>Wynnewood</t>
  </si>
  <si>
    <t>610.896.7770</t>
  </si>
  <si>
    <t>Raymond &amp; Miriam Klein JCC</t>
  </si>
  <si>
    <t>10100 Jamison Ave.</t>
  </si>
  <si>
    <t>215.698.7300</t>
  </si>
  <si>
    <t>Farrell</t>
  </si>
  <si>
    <t>Borine</t>
  </si>
  <si>
    <t>JCCs of Greater Philadelphia</t>
  </si>
  <si>
    <t>Andre</t>
  </si>
  <si>
    <t>Krug</t>
  </si>
  <si>
    <t>Community Youth Initiative</t>
  </si>
  <si>
    <t>215.446.3030</t>
  </si>
  <si>
    <t>The Collaborative</t>
  </si>
  <si>
    <t>215.446.3031</t>
  </si>
  <si>
    <t>JCC of Greater Philadelphia</t>
  </si>
  <si>
    <t>215.446.3003</t>
  </si>
  <si>
    <t>JCCs of Greater Pittsburgh</t>
  </si>
  <si>
    <t>5738 Forbes Ave.</t>
  </si>
  <si>
    <t>412.521.8010</t>
  </si>
  <si>
    <t>345 Kane Blvd.</t>
  </si>
  <si>
    <t>412.278.1975</t>
  </si>
  <si>
    <t>Scranton JCC</t>
  </si>
  <si>
    <t>601 Jefferson Ave.</t>
  </si>
  <si>
    <t>Scranton</t>
  </si>
  <si>
    <t>570.346.6595</t>
  </si>
  <si>
    <t>JCC of Wyoming Valley</t>
  </si>
  <si>
    <t>60 S. River St.</t>
  </si>
  <si>
    <t>570.824.4646</t>
  </si>
  <si>
    <t>Basan</t>
  </si>
  <si>
    <t>York JCC</t>
  </si>
  <si>
    <t>2000 Hollywood Dr.</t>
  </si>
  <si>
    <t>717.843.0918</t>
  </si>
  <si>
    <t>Jewish Federation of Greater Harrisburg</t>
  </si>
  <si>
    <t>3301 N Front St.</t>
  </si>
  <si>
    <t>717.236.9555</t>
  </si>
  <si>
    <t>Freedman</t>
  </si>
  <si>
    <t>Jewish Federation of Greater Philadelphia, PA</t>
  </si>
  <si>
    <t>Pinemere Camp Association</t>
  </si>
  <si>
    <t>4100 Main St. Suite 301</t>
  </si>
  <si>
    <t>215.487.2267</t>
  </si>
  <si>
    <t>Jacob &amp; Esther Stiffel Senior Center</t>
  </si>
  <si>
    <t>604 Porter St.</t>
  </si>
  <si>
    <t>215.468.3500</t>
  </si>
  <si>
    <t>Selkow</t>
  </si>
  <si>
    <t>JCC of Rhode Island</t>
  </si>
  <si>
    <t>401 Elmgrove Ave.</t>
  </si>
  <si>
    <t>401.861.8800</t>
  </si>
  <si>
    <t>Charleston JCC</t>
  </si>
  <si>
    <t>PO Box 31298</t>
  </si>
  <si>
    <t>Katie and Irwin Kahn JCC</t>
  </si>
  <si>
    <t>PO Box 23257</t>
  </si>
  <si>
    <t>803.787.2023</t>
  </si>
  <si>
    <t>Katzman</t>
  </si>
  <si>
    <t>Memphis JCC</t>
  </si>
  <si>
    <t>6560 Poplar Ave</t>
  </si>
  <si>
    <t>Memphis</t>
  </si>
  <si>
    <t>901.761.0810</t>
  </si>
  <si>
    <t>Terner</t>
  </si>
  <si>
    <t>Gordon JCC</t>
  </si>
  <si>
    <t>801 Percy Warner Blvd</t>
  </si>
  <si>
    <t>613.356.7170</t>
  </si>
  <si>
    <t>Barrie</t>
  </si>
  <si>
    <t>Weiser</t>
  </si>
  <si>
    <t>JCC Dallas</t>
  </si>
  <si>
    <t>7900 Northhaven Rd.</t>
  </si>
  <si>
    <t>214.739.2737</t>
  </si>
  <si>
    <t>JCC of Austin</t>
  </si>
  <si>
    <t>7300 Hart Ln.</t>
  </si>
  <si>
    <t>512.735.8000</t>
  </si>
  <si>
    <t>Arthur</t>
  </si>
  <si>
    <t>Houston JCC</t>
  </si>
  <si>
    <t>5601 S Braeswood</t>
  </si>
  <si>
    <t>713.729.3200</t>
  </si>
  <si>
    <t>Shelly</t>
  </si>
  <si>
    <t>Prant</t>
  </si>
  <si>
    <t>JCC/West Houston</t>
  </si>
  <si>
    <t>1120 Dairy Ashford</t>
  </si>
  <si>
    <t>281.556.5567</t>
  </si>
  <si>
    <t>Wische</t>
  </si>
  <si>
    <t>Barshop JCC of San Antonio</t>
  </si>
  <si>
    <t>12500 NW Military Hwy Suite 275</t>
  </si>
  <si>
    <t>210.302.6820</t>
  </si>
  <si>
    <t>I.J &amp; Jeanne Wagner JCC</t>
  </si>
  <si>
    <t>2 N Medial Dr.</t>
  </si>
  <si>
    <t>801.581.0098</t>
  </si>
  <si>
    <t>Saul</t>
  </si>
  <si>
    <t>Levenshus</t>
  </si>
  <si>
    <t>JCC of Northern Virginia</t>
  </si>
  <si>
    <t>8900 Little River Turnpike</t>
  </si>
  <si>
    <t>Fairfax</t>
  </si>
  <si>
    <t>703.323.0880</t>
  </si>
  <si>
    <t>Andrea</t>
  </si>
  <si>
    <t>Alcabes</t>
  </si>
  <si>
    <t>The Marilyn and Marvin Simon JCC</t>
  </si>
  <si>
    <t>5000 Corporate Woods Dr. Ste .100</t>
  </si>
  <si>
    <t>Virginia Beach</t>
  </si>
  <si>
    <t>757.489.1371</t>
  </si>
  <si>
    <t>Koehler</t>
  </si>
  <si>
    <t>Weinstein JCC</t>
  </si>
  <si>
    <t>5402 Monument Ave.</t>
  </si>
  <si>
    <t>804.288.6091</t>
  </si>
  <si>
    <t>Harry</t>
  </si>
  <si>
    <t>Graber</t>
  </si>
  <si>
    <t>Stroum JCC of Greater Seattle</t>
  </si>
  <si>
    <t>3801 E. Mercer Way</t>
  </si>
  <si>
    <t>Mercer Island</t>
  </si>
  <si>
    <t>206.232.7115</t>
  </si>
  <si>
    <t>Shenker</t>
  </si>
  <si>
    <t>Northend/ Seattle Facility</t>
  </si>
  <si>
    <t>8606 25th Ave. NE</t>
  </si>
  <si>
    <t>206.526.8073</t>
  </si>
  <si>
    <t>Sohn</t>
  </si>
  <si>
    <t>JCC Exploratory Committee in SW Washington</t>
  </si>
  <si>
    <t>850 NW View Ridge Ct.</t>
  </si>
  <si>
    <t>Camas</t>
  </si>
  <si>
    <t>360.713.8171</t>
  </si>
  <si>
    <t>Harry and Rose Samson Family JCC</t>
  </si>
  <si>
    <t>6255 N Santa Monica Blvd.</t>
  </si>
  <si>
    <t>414.964.4444</t>
  </si>
  <si>
    <t>Roth</t>
  </si>
  <si>
    <t>Falkenburg</t>
  </si>
  <si>
    <t>CEO First</t>
  </si>
  <si>
    <t>CEO Last</t>
  </si>
  <si>
    <t>City/St/Zip</t>
  </si>
  <si>
    <t>2008 Rev</t>
  </si>
  <si>
    <t>version 7.1.01</t>
  </si>
  <si>
    <t>This self evaluation is provided to give you an idea of how TRG evaluates the risk management of your association and facilities. We do not consider a level met until all criteria are met, but do recognize that most of the time real life does not fit neatly into predefined boxes. We like to know, for example, that though only Gold is fully achieved (and thus marked), that all of Diamond is also done and that only one portion of Platinum prevents a higher score.</t>
  </si>
  <si>
    <t>This self evaluation is provided to give you an idea of how TRG evaluates the risk management of your organization and facilities. We do not consider a level met until all criteria are met, but do recognize that most of the time real life does not fit neatly into predefined boxes. We like to know, for example, that though only Gold is fully achieved (and thus marked), that all of Diamond is also done and that only one portion of Platinum prevents a higher score.</t>
  </si>
  <si>
    <t>This self evaluation is provided to give you an idea of how TRG evaluates the risk management of your association regarding resident camps and dedicated day camp facilities. We do not consider a level met until all criteria are met, but do recognize that most of the time real life does not fit neatly into predefined boxes. We like to know, for example, that though only Gold is fully achieved (and thus marked), that all of Diamond is also done and that only one portion of Platinum prevents a higher score.</t>
  </si>
  <si>
    <t>This self evaluation is provided to give you an idea of how TRG evaluates the risk management of your organization regarding resident camps and dedicated day camp facilities. We do not consider a level met until all criteria are met, but do recognize that most of the time real life does not fit neatly into predefined boxes. We like to know, for example, that though only Gold is fully achieved (and thus marked), that all of Diamond is also done and that only one portion of Platinum prevents a higher score.</t>
  </si>
  <si>
    <t>This self evaluation is provided to give you an idea of how TRG evaluates the risk management of your association regarding workers' compensation and employee safety. We do not consider a level met until all criteria are met, but do recognize that most of the time real life does not fit neatly into predefined boxes. We like to know, for example, that though only Gold is fully achieved (and thus marked), that all of Diamond is also done and that only one portion of Platinum prevents a higher score.</t>
  </si>
  <si>
    <t>This self evaluation is provided to give you an idea of how TRG evaluates the risk management of your organization regarding workers' compensation and employee safety. We do not consider a level met until all criteria are met, but do recognize that most of the time real life does not fit neatly into predefined boxes. We like to know, for example, that though only Gold is fully achieved (and thus marked), that all of Diamond is also done and that only one portion of Platinum prevents a higher score.</t>
  </si>
  <si>
    <t>If a Yellow or Red Flag is the highest level achieved or if a specific necessary behavior is not indicated, then a suggested remedy will be provided - it will include all of the criteria needed to achieve Gold Medal (or meet the specific behavioral need), so it may be more inclusive than necessary.</t>
  </si>
  <si>
    <t>The document is designed for computer entry - many of the questions appear only as needed, in response to a previous answer. If there are response boxes with no questions it means that your responses did not generate further questions and you do not need to be concerned about those spaces. Empty boxes are sized large enough for the entire suggested correction to appear. If you wish to clear blank space after you have completed the form you can shrink rows as desired.</t>
  </si>
  <si>
    <t xml:space="preserve">© The Redwoods Group, 2009 - Risk Management services are provided by The Redwoods Group to assist insureds in fulfilling their responsibilities for the control of potential loss-producing situations involving their YMCA operations. The information contained is not intended as legal advice; it simply represents trends in the YMCA industry, related industries, and/or law. Laws and suggested standards are under constant review by courts, states, and trade groups. They can be vastly different in each jurisdiction. YMCAs are advised to seek the services of a local personal attorney for legal advice relating to any subject addressed. The information is provided "AS IS" without warranty of any kind and The Redwoods Group expressly disclaims all warranties and conditions with regard to any information contained, including all implied warranties of merchantability and fitness for a particular purpose. The Redwoods Group assumes no liability of any kind for information and data contained or for any course of action you may take in reliance thereon.  </t>
  </si>
  <si>
    <t xml:space="preserve">    INTRODUCTION</t>
  </si>
  <si>
    <t xml:space="preserve">   INTRODUCTION</t>
  </si>
  <si>
    <r>
      <t xml:space="preserve">    GENERAL INFORMATION</t>
    </r>
    <r>
      <rPr>
        <sz val="11"/>
        <color indexed="12"/>
        <rFont val="Arial"/>
        <family val="2"/>
      </rPr>
      <t xml:space="preserve"> (optional)</t>
    </r>
  </si>
  <si>
    <r>
      <t xml:space="preserve">GOLD MEDAL </t>
    </r>
    <r>
      <rPr>
        <i/>
        <sz val="9"/>
        <rFont val="Arial"/>
        <family val="2"/>
      </rPr>
      <t>plus</t>
    </r>
    <r>
      <rPr>
        <sz val="9"/>
        <rFont val="Arial"/>
        <family val="2"/>
      </rPr>
      <t xml:space="preserve"> Lifeguarding skills are tested and approved prior to hiring as part of the interview process.</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</si>
</sst>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mm/dd/yy;@"/>
    <numFmt numFmtId="165" formatCode="0.000"/>
    <numFmt numFmtId="166" formatCode="0.00000"/>
    <numFmt numFmtId="167" formatCode=";;;"/>
    <numFmt numFmtId="168" formatCode="m/d;@"/>
    <numFmt numFmtId="169" formatCode="0000"/>
    <numFmt numFmtId="170" formatCode="&quot;$&quot;#,##0"/>
  </numFmts>
  <fonts count="77" x14ac:knownFonts="1">
    <font>
      <sz val="10"/>
      <name val="Arial"/>
    </font>
    <font>
      <sz val="10"/>
      <name val="Arial"/>
      <family val="2"/>
    </font>
    <font>
      <sz val="8"/>
      <name val="Arial"/>
      <family val="2"/>
    </font>
    <font>
      <b/>
      <sz val="18"/>
      <color indexed="12"/>
      <name val="Arial"/>
      <family val="2"/>
    </font>
    <font>
      <b/>
      <sz val="11"/>
      <name val="Arial"/>
      <family val="2"/>
    </font>
    <font>
      <b/>
      <sz val="10"/>
      <name val="Arial"/>
      <family val="2"/>
    </font>
    <font>
      <b/>
      <sz val="10"/>
      <color indexed="10"/>
      <name val="Arial"/>
      <family val="2"/>
    </font>
    <font>
      <i/>
      <sz val="10"/>
      <name val="Arial"/>
      <family val="2"/>
    </font>
    <font>
      <sz val="10"/>
      <name val="Arial"/>
      <family val="2"/>
    </font>
    <font>
      <b/>
      <i/>
      <sz val="10"/>
      <color indexed="10"/>
      <name val="Arial"/>
      <family val="2"/>
    </font>
    <font>
      <b/>
      <sz val="10"/>
      <color indexed="12"/>
      <name val="Arial"/>
      <family val="2"/>
    </font>
    <font>
      <b/>
      <sz val="8"/>
      <name val="Arial Narrow"/>
      <family val="2"/>
    </font>
    <font>
      <i/>
      <sz val="8"/>
      <name val="Arial"/>
      <family val="2"/>
    </font>
    <font>
      <sz val="10"/>
      <color indexed="12"/>
      <name val="Arial"/>
      <family val="2"/>
    </font>
    <font>
      <sz val="9"/>
      <name val="Arial"/>
      <family val="2"/>
    </font>
    <font>
      <sz val="8"/>
      <name val="Arial"/>
      <family val="2"/>
    </font>
    <font>
      <i/>
      <u/>
      <sz val="8"/>
      <name val="Arial"/>
      <family val="2"/>
    </font>
    <font>
      <i/>
      <sz val="10"/>
      <color indexed="10"/>
      <name val="Arial"/>
      <family val="2"/>
    </font>
    <font>
      <b/>
      <sz val="8"/>
      <name val="Arial"/>
      <family val="2"/>
    </font>
    <font>
      <sz val="9"/>
      <color indexed="12"/>
      <name val="Arial"/>
      <family val="2"/>
    </font>
    <font>
      <sz val="7"/>
      <name val="Arial"/>
      <family val="2"/>
    </font>
    <font>
      <b/>
      <sz val="12"/>
      <name val="Arial"/>
      <family val="2"/>
    </font>
    <font>
      <sz val="10"/>
      <color indexed="12"/>
      <name val="Arial"/>
      <family val="2"/>
    </font>
    <font>
      <b/>
      <sz val="8"/>
      <color indexed="12"/>
      <name val="Arial Narrow"/>
      <family val="2"/>
    </font>
    <font>
      <b/>
      <sz val="10"/>
      <name val="Arial Narrow"/>
      <family val="2"/>
    </font>
    <font>
      <sz val="10"/>
      <name val="Arial"/>
      <family val="2"/>
    </font>
    <font>
      <u/>
      <sz val="10"/>
      <color indexed="12"/>
      <name val="Arial"/>
      <family val="2"/>
    </font>
    <font>
      <b/>
      <sz val="10"/>
      <color indexed="10"/>
      <name val="Arial Narrow"/>
      <family val="2"/>
    </font>
    <font>
      <b/>
      <sz val="20"/>
      <color indexed="12"/>
      <name val="Arial"/>
      <family val="2"/>
    </font>
    <font>
      <sz val="22"/>
      <name val="Arial"/>
      <family val="2"/>
    </font>
    <font>
      <sz val="10"/>
      <color indexed="10"/>
      <name val="Arial"/>
      <family val="2"/>
    </font>
    <font>
      <u/>
      <sz val="10"/>
      <color indexed="12"/>
      <name val="Arial"/>
      <family val="2"/>
    </font>
    <font>
      <b/>
      <sz val="20"/>
      <name val="Arial"/>
      <family val="2"/>
    </font>
    <font>
      <b/>
      <sz val="9"/>
      <name val="Arial"/>
      <family val="2"/>
    </font>
    <font>
      <sz val="11"/>
      <name val="Arial"/>
      <family val="2"/>
    </font>
    <font>
      <sz val="10"/>
      <color indexed="10"/>
      <name val="Arial"/>
      <family val="2"/>
    </font>
    <font>
      <sz val="8"/>
      <color indexed="18"/>
      <name val="Arial"/>
      <family val="2"/>
    </font>
    <font>
      <sz val="10"/>
      <color indexed="18"/>
      <name val="Arial"/>
      <family val="2"/>
    </font>
    <font>
      <i/>
      <sz val="9"/>
      <name val="Arial"/>
      <family val="2"/>
    </font>
    <font>
      <i/>
      <sz val="7"/>
      <name val="Arial"/>
      <family val="2"/>
    </font>
    <font>
      <i/>
      <sz val="9"/>
      <color indexed="18"/>
      <name val="Arial"/>
      <family val="2"/>
    </font>
    <font>
      <sz val="7"/>
      <color indexed="18"/>
      <name val="Arial"/>
      <family val="2"/>
    </font>
    <font>
      <sz val="20"/>
      <name val="Arial"/>
      <family val="2"/>
    </font>
    <font>
      <sz val="10"/>
      <color indexed="23"/>
      <name val="Arial"/>
      <family val="2"/>
    </font>
    <font>
      <sz val="10"/>
      <color theme="0" tint="-0.34998626667073579"/>
      <name val="Arial"/>
      <family val="2"/>
    </font>
    <font>
      <b/>
      <sz val="10"/>
      <color rgb="FF0000FF"/>
      <name val="Arial"/>
      <family val="2"/>
    </font>
    <font>
      <sz val="10"/>
      <color rgb="FFFF0000"/>
      <name val="Arial"/>
      <family val="2"/>
    </font>
    <font>
      <b/>
      <sz val="8"/>
      <color indexed="10"/>
      <name val="Arial"/>
      <family val="2"/>
    </font>
    <font>
      <sz val="14"/>
      <name val="Wingdings"/>
      <charset val="2"/>
    </font>
    <font>
      <b/>
      <i/>
      <sz val="10"/>
      <color indexed="12"/>
      <name val="Arial Narrow"/>
      <family val="2"/>
    </font>
    <font>
      <b/>
      <sz val="22"/>
      <name val="Arial"/>
      <family val="2"/>
    </font>
    <font>
      <b/>
      <sz val="10"/>
      <color rgb="FFFF0000"/>
      <name val="Arial"/>
      <family val="2"/>
    </font>
    <font>
      <i/>
      <sz val="7"/>
      <color rgb="FF0000FF"/>
      <name val="Arial"/>
      <family val="2"/>
    </font>
    <font>
      <sz val="10"/>
      <color rgb="FF0000FF"/>
      <name val="Arial"/>
      <family val="2"/>
    </font>
    <font>
      <sz val="9"/>
      <color indexed="18"/>
      <name val="Arial"/>
      <family val="2"/>
    </font>
    <font>
      <sz val="9"/>
      <color theme="0"/>
      <name val="Arial"/>
      <family val="2"/>
    </font>
    <font>
      <sz val="9"/>
      <color indexed="10"/>
      <name val="Arial"/>
      <family val="2"/>
    </font>
    <font>
      <u/>
      <sz val="9"/>
      <name val="Arial"/>
      <family val="2"/>
    </font>
    <font>
      <i/>
      <u/>
      <sz val="9"/>
      <name val="Arial"/>
      <family val="2"/>
    </font>
    <font>
      <sz val="9"/>
      <color rgb="FFFF0000"/>
      <name val="Arial"/>
      <family val="2"/>
    </font>
    <font>
      <b/>
      <i/>
      <sz val="9"/>
      <color indexed="10"/>
      <name val="Arial"/>
      <family val="2"/>
    </font>
    <font>
      <i/>
      <sz val="9"/>
      <color rgb="FF0000FF"/>
      <name val="Arial"/>
      <family val="2"/>
    </font>
    <font>
      <b/>
      <sz val="9"/>
      <name val="Arial Narrow"/>
      <family val="2"/>
    </font>
    <font>
      <sz val="10"/>
      <color theme="0"/>
      <name val="Arial"/>
      <family val="2"/>
    </font>
    <font>
      <sz val="8"/>
      <color rgb="FF0000FF"/>
      <name val="Arial"/>
      <family val="2"/>
    </font>
    <font>
      <sz val="9"/>
      <color rgb="FF0000FF"/>
      <name val="Arial"/>
      <family val="2"/>
    </font>
    <font>
      <b/>
      <sz val="8"/>
      <color indexed="18"/>
      <name val="Arial"/>
      <family val="2"/>
    </font>
    <font>
      <b/>
      <i/>
      <sz val="10"/>
      <color rgb="FFFF0000"/>
      <name val="Arial"/>
      <family val="2"/>
    </font>
    <font>
      <b/>
      <sz val="16"/>
      <name val="Arial"/>
      <family val="2"/>
    </font>
    <font>
      <sz val="10"/>
      <color rgb="FF0070C0"/>
      <name val="Arial"/>
      <family val="2"/>
    </font>
    <font>
      <sz val="9"/>
      <color rgb="FF0070C0"/>
      <name val="Arial"/>
      <family val="2"/>
    </font>
    <font>
      <b/>
      <sz val="11"/>
      <color theme="1"/>
      <name val="Calibri"/>
      <family val="2"/>
      <scheme val="minor"/>
    </font>
    <font>
      <sz val="10"/>
      <name val="Calibri"/>
      <family val="2"/>
      <scheme val="minor"/>
    </font>
    <font>
      <b/>
      <sz val="10"/>
      <name val="Calibri"/>
      <family val="2"/>
      <scheme val="minor"/>
    </font>
    <font>
      <i/>
      <sz val="8"/>
      <color rgb="FF0000FF"/>
      <name val="Arial"/>
      <family val="2"/>
    </font>
    <font>
      <sz val="11"/>
      <color indexed="12"/>
      <name val="Arial"/>
      <family val="2"/>
    </font>
    <font>
      <sz val="8"/>
      <color rgb="FF000000"/>
      <name val="Tahoma"/>
      <family val="2"/>
    </font>
  </fonts>
  <fills count="13">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00"/>
        <bgColor indexed="64"/>
      </patternFill>
    </fill>
  </fills>
  <borders count="32">
    <border>
      <left/>
      <right/>
      <top/>
      <bottom/>
      <diagonal/>
    </border>
    <border>
      <left/>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style="thick">
        <color auto="1"/>
      </left>
      <right style="thick">
        <color auto="1"/>
      </right>
      <top/>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ck">
        <color auto="1"/>
      </left>
      <right style="thick">
        <color auto="1"/>
      </right>
      <top style="thick">
        <color auto="1"/>
      </top>
      <bottom/>
      <diagonal/>
    </border>
    <border>
      <left style="thick">
        <color auto="1"/>
      </left>
      <right/>
      <top style="thick">
        <color auto="1"/>
      </top>
      <bottom/>
      <diagonal/>
    </border>
    <border>
      <left style="thick">
        <color auto="1"/>
      </left>
      <right style="thick">
        <color auto="1"/>
      </right>
      <top/>
      <bottom style="thick">
        <color auto="1"/>
      </bottom>
      <diagonal/>
    </border>
    <border>
      <left/>
      <right/>
      <top style="thin">
        <color auto="1"/>
      </top>
      <bottom style="thin">
        <color auto="1"/>
      </bottom>
      <diagonal/>
    </border>
    <border>
      <left/>
      <right style="thin">
        <color auto="1"/>
      </right>
      <top/>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ck">
        <color indexed="21"/>
      </left>
      <right style="thick">
        <color indexed="21"/>
      </right>
      <top style="thick">
        <color indexed="21"/>
      </top>
      <bottom style="thick">
        <color indexed="2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indexed="17"/>
      </left>
      <right/>
      <top style="thick">
        <color indexed="17"/>
      </top>
      <bottom style="thick">
        <color indexed="17"/>
      </bottom>
      <diagonal/>
    </border>
    <border>
      <left/>
      <right/>
      <top style="thick">
        <color indexed="17"/>
      </top>
      <bottom style="thick">
        <color indexed="17"/>
      </bottom>
      <diagonal/>
    </border>
    <border>
      <left/>
      <right style="thick">
        <color indexed="17"/>
      </right>
      <top style="thick">
        <color indexed="17"/>
      </top>
      <bottom style="thick">
        <color indexed="17"/>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s>
  <cellStyleXfs count="3">
    <xf numFmtId="0" fontId="0" fillId="0" borderId="0"/>
    <xf numFmtId="0" fontId="26" fillId="0" borderId="0" applyNumberFormat="0" applyFill="0" applyBorder="0" applyAlignment="0" applyProtection="0">
      <alignment vertical="top"/>
      <protection locked="0"/>
    </xf>
    <xf numFmtId="0" fontId="1" fillId="0" borderId="0"/>
  </cellStyleXfs>
  <cellXfs count="939">
    <xf numFmtId="0" fontId="0" fillId="0" borderId="0" xfId="0"/>
    <xf numFmtId="0" fontId="0" fillId="0" borderId="0" xfId="0" applyProtection="1"/>
    <xf numFmtId="0" fontId="10" fillId="0" borderId="0" xfId="0" applyFont="1" applyBorder="1" applyProtection="1"/>
    <xf numFmtId="0" fontId="11" fillId="0" borderId="0" xfId="0" applyFont="1" applyProtection="1"/>
    <xf numFmtId="0" fontId="0" fillId="0" borderId="0" xfId="0" applyAlignment="1" applyProtection="1">
      <alignment vertical="top"/>
    </xf>
    <xf numFmtId="0" fontId="0" fillId="0" borderId="0" xfId="0" applyBorder="1" applyAlignment="1" applyProtection="1">
      <alignment vertical="top"/>
    </xf>
    <xf numFmtId="0" fontId="4" fillId="0" borderId="0" xfId="0" applyFont="1" applyAlignment="1" applyProtection="1">
      <alignment vertical="top"/>
    </xf>
    <xf numFmtId="0" fontId="1" fillId="0" borderId="0" xfId="0" applyFont="1" applyAlignment="1" applyProtection="1">
      <alignment vertical="top"/>
    </xf>
    <xf numFmtId="0" fontId="25" fillId="0" borderId="0" xfId="0" applyFont="1" applyAlignment="1" applyProtection="1">
      <alignment vertical="top"/>
    </xf>
    <xf numFmtId="0" fontId="1"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0" fillId="0" borderId="0" xfId="0" applyBorder="1" applyProtection="1"/>
    <xf numFmtId="0" fontId="20" fillId="0" borderId="0" xfId="0" applyFont="1" applyAlignment="1" applyProtection="1">
      <alignment vertical="center"/>
    </xf>
    <xf numFmtId="0" fontId="2" fillId="0" borderId="0" xfId="0" applyFont="1" applyAlignment="1" applyProtection="1">
      <alignment vertical="top"/>
    </xf>
    <xf numFmtId="0" fontId="20" fillId="0" borderId="0" xfId="0" applyFont="1" applyBorder="1" applyAlignment="1" applyProtection="1">
      <alignment vertical="center"/>
    </xf>
    <xf numFmtId="0" fontId="0" fillId="0" borderId="0" xfId="0" applyBorder="1" applyAlignment="1" applyProtection="1">
      <alignment horizontal="left" vertical="top"/>
    </xf>
    <xf numFmtId="0" fontId="0" fillId="0" borderId="0" xfId="0" applyBorder="1" applyAlignment="1" applyProtection="1">
      <alignment vertical="center"/>
    </xf>
    <xf numFmtId="0" fontId="20" fillId="0" borderId="16" xfId="0" applyFont="1" applyBorder="1" applyAlignment="1" applyProtection="1">
      <alignment horizontal="right" vertical="center"/>
    </xf>
    <xf numFmtId="0" fontId="20" fillId="0" borderId="13" xfId="0" applyFont="1" applyBorder="1" applyAlignment="1" applyProtection="1">
      <alignment horizontal="right" vertical="center"/>
    </xf>
    <xf numFmtId="0" fontId="5" fillId="0" borderId="0" xfId="0" applyFont="1" applyAlignment="1" applyProtection="1"/>
    <xf numFmtId="0" fontId="0" fillId="0" borderId="0" xfId="0" applyAlignment="1" applyProtection="1"/>
    <xf numFmtId="0" fontId="7" fillId="0" borderId="0" xfId="0" applyFont="1" applyBorder="1" applyAlignment="1" applyProtection="1">
      <alignment vertical="top"/>
    </xf>
    <xf numFmtId="0" fontId="0" fillId="0" borderId="0" xfId="0" applyAlignment="1" applyProtection="1">
      <alignment horizontal="left" vertical="top"/>
    </xf>
    <xf numFmtId="0" fontId="0" fillId="0" borderId="0" xfId="0" applyAlignment="1" applyProtection="1">
      <alignment vertical="center"/>
    </xf>
    <xf numFmtId="0" fontId="0" fillId="0" borderId="0" xfId="0" applyBorder="1" applyAlignment="1" applyProtection="1">
      <alignment vertical="top" wrapText="1"/>
    </xf>
    <xf numFmtId="0" fontId="1" fillId="0" borderId="0" xfId="0" applyFont="1" applyProtection="1"/>
    <xf numFmtId="0" fontId="25" fillId="0" borderId="0" xfId="0" applyFont="1" applyProtection="1"/>
    <xf numFmtId="0" fontId="0" fillId="0" borderId="0" xfId="0" applyBorder="1" applyAlignment="1" applyProtection="1">
      <alignment horizontal="left" vertical="top" wrapText="1"/>
    </xf>
    <xf numFmtId="0" fontId="25" fillId="0" borderId="0" xfId="0" applyFont="1" applyAlignment="1" applyProtection="1">
      <alignment horizontal="left" vertical="top"/>
    </xf>
    <xf numFmtId="0" fontId="0" fillId="0" borderId="0" xfId="0" applyAlignment="1" applyProtection="1">
      <alignment horizontal="right"/>
    </xf>
    <xf numFmtId="0" fontId="4" fillId="0" borderId="0" xfId="0" applyFont="1" applyProtection="1"/>
    <xf numFmtId="0" fontId="22" fillId="0" borderId="0" xfId="0" applyFont="1" applyProtection="1"/>
    <xf numFmtId="0" fontId="10" fillId="0" borderId="0" xfId="0" applyFont="1" applyBorder="1" applyAlignment="1" applyProtection="1">
      <alignment horizontal="center"/>
    </xf>
    <xf numFmtId="0" fontId="23" fillId="0" borderId="0" xfId="0" applyFont="1" applyProtection="1"/>
    <xf numFmtId="0" fontId="22" fillId="0" borderId="0" xfId="0" applyFont="1" applyBorder="1" applyProtection="1"/>
    <xf numFmtId="0" fontId="0" fillId="0" borderId="0" xfId="0" applyBorder="1" applyAlignment="1" applyProtection="1">
      <alignment horizontal="center"/>
    </xf>
    <xf numFmtId="0" fontId="15" fillId="0" borderId="0" xfId="0" applyFont="1" applyAlignment="1" applyProtection="1">
      <alignment vertical="top"/>
    </xf>
    <xf numFmtId="0" fontId="9" fillId="0" borderId="0" xfId="0" applyFont="1" applyFill="1" applyProtection="1"/>
    <xf numFmtId="0" fontId="8" fillId="0" borderId="0" xfId="0" applyFont="1" applyProtection="1"/>
    <xf numFmtId="0" fontId="0" fillId="0" borderId="0" xfId="0" applyFill="1" applyProtection="1"/>
    <xf numFmtId="0" fontId="6" fillId="0" borderId="0" xfId="0" applyFont="1" applyFill="1" applyBorder="1" applyAlignment="1" applyProtection="1">
      <alignment horizontal="center" vertical="center"/>
    </xf>
    <xf numFmtId="0" fontId="10" fillId="0" borderId="0" xfId="0" applyFont="1" applyFill="1" applyAlignment="1" applyProtection="1">
      <alignment vertical="center"/>
    </xf>
    <xf numFmtId="0" fontId="13" fillId="0" borderId="0" xfId="0" applyFont="1" applyFill="1" applyProtection="1"/>
    <xf numFmtId="0" fontId="27" fillId="0" borderId="0" xfId="0" applyFont="1" applyFill="1" applyAlignment="1" applyProtection="1">
      <alignment vertical="center"/>
    </xf>
    <xf numFmtId="0" fontId="0" fillId="0" borderId="0" xfId="0" applyFill="1" applyBorder="1" applyProtection="1"/>
    <xf numFmtId="0" fontId="6" fillId="0" borderId="0" xfId="0" applyFont="1" applyFill="1" applyAlignment="1" applyProtection="1">
      <alignment vertical="center"/>
    </xf>
    <xf numFmtId="0" fontId="26" fillId="0" borderId="0" xfId="1" applyFill="1" applyAlignment="1" applyProtection="1"/>
    <xf numFmtId="0" fontId="4" fillId="0" borderId="0" xfId="0" applyFont="1" applyFill="1" applyProtection="1"/>
    <xf numFmtId="0" fontId="2" fillId="0" borderId="0" xfId="0" applyFont="1" applyFill="1" applyAlignment="1" applyProtection="1">
      <alignment vertical="top"/>
    </xf>
    <xf numFmtId="0" fontId="8" fillId="0" borderId="0" xfId="0" applyFont="1" applyAlignment="1" applyProtection="1">
      <alignment vertical="top"/>
    </xf>
    <xf numFmtId="0" fontId="5" fillId="0" borderId="0" xfId="0" applyFont="1" applyProtection="1"/>
    <xf numFmtId="0" fontId="8" fillId="0" borderId="0" xfId="0" applyFont="1" applyAlignment="1" applyProtection="1">
      <alignment horizontal="left" vertical="top" wrapText="1"/>
    </xf>
    <xf numFmtId="0" fontId="34" fillId="0" borderId="0" xfId="0" applyFont="1" applyAlignment="1">
      <alignment horizontal="center" vertical="top" wrapText="1"/>
    </xf>
    <xf numFmtId="0" fontId="35" fillId="0" borderId="0" xfId="0" applyFont="1" applyAlignment="1" applyProtection="1">
      <alignment vertical="top"/>
    </xf>
    <xf numFmtId="0" fontId="35" fillId="0" borderId="0" xfId="0" applyFont="1" applyProtection="1"/>
    <xf numFmtId="0" fontId="36" fillId="0" borderId="0" xfId="0" applyFont="1" applyAlignment="1" applyProtection="1">
      <alignment vertical="top"/>
    </xf>
    <xf numFmtId="0" fontId="10" fillId="0" borderId="0" xfId="1" applyFont="1" applyFill="1" applyBorder="1" applyAlignment="1" applyProtection="1"/>
    <xf numFmtId="0" fontId="1" fillId="0" borderId="0" xfId="0" applyFont="1" applyAlignment="1" applyProtection="1">
      <alignment horizontal="left" vertical="top"/>
    </xf>
    <xf numFmtId="0" fontId="4" fillId="0" borderId="0" xfId="0" applyFont="1"/>
    <xf numFmtId="0" fontId="30" fillId="0" borderId="0" xfId="0" applyFont="1" applyProtection="1"/>
    <xf numFmtId="0" fontId="39" fillId="0" borderId="0" xfId="0" applyFont="1"/>
    <xf numFmtId="0" fontId="9" fillId="0" borderId="0" xfId="0" applyFont="1" applyProtection="1"/>
    <xf numFmtId="0" fontId="40" fillId="0" borderId="0" xfId="0" applyFont="1" applyAlignment="1" applyProtection="1">
      <alignment horizontal="right" vertical="top"/>
    </xf>
    <xf numFmtId="0" fontId="39" fillId="0" borderId="0" xfId="0" applyFont="1" applyAlignment="1" applyProtection="1">
      <alignment horizontal="center" vertical="top"/>
    </xf>
    <xf numFmtId="0" fontId="41" fillId="0" borderId="0" xfId="0" applyFont="1" applyAlignment="1" applyProtection="1">
      <alignment vertical="top" wrapText="1"/>
    </xf>
    <xf numFmtId="0" fontId="4" fillId="0" borderId="0" xfId="0" applyFont="1" applyFill="1"/>
    <xf numFmtId="0" fontId="6" fillId="0" borderId="0" xfId="0" applyFont="1" applyAlignment="1" applyProtection="1"/>
    <xf numFmtId="0" fontId="0" fillId="0" borderId="0" xfId="0" quotePrefix="1" applyProtection="1"/>
    <xf numFmtId="0" fontId="0" fillId="0" borderId="14" xfId="0" applyFill="1" applyBorder="1" applyProtection="1"/>
    <xf numFmtId="0" fontId="2" fillId="0" borderId="0" xfId="0" applyFont="1" applyProtection="1"/>
    <xf numFmtId="0" fontId="2" fillId="0" borderId="0" xfId="0" applyFont="1" applyFill="1" applyProtection="1"/>
    <xf numFmtId="0" fontId="21" fillId="0" borderId="0" xfId="0" applyFont="1" applyAlignment="1">
      <alignment horizontal="center" vertical="top"/>
    </xf>
    <xf numFmtId="14" fontId="0" fillId="0" borderId="0" xfId="0" applyNumberFormat="1" applyAlignment="1">
      <alignment horizontal="center" vertical="top"/>
    </xf>
    <xf numFmtId="0" fontId="0" fillId="0" borderId="0" xfId="0" applyAlignment="1">
      <alignment horizontal="left" vertical="top"/>
    </xf>
    <xf numFmtId="0" fontId="0" fillId="2" borderId="0" xfId="0" applyFill="1" applyAlignment="1">
      <alignment horizontal="left" vertical="top"/>
    </xf>
    <xf numFmtId="0" fontId="2" fillId="0" borderId="0" xfId="0" applyFont="1"/>
    <xf numFmtId="167" fontId="9" fillId="0" borderId="0" xfId="0" applyNumberFormat="1" applyFont="1" applyFill="1" applyProtection="1"/>
    <xf numFmtId="0" fontId="0" fillId="0" borderId="0" xfId="0" applyFill="1" applyAlignment="1" applyProtection="1">
      <alignment vertical="top"/>
    </xf>
    <xf numFmtId="0" fontId="44" fillId="0" borderId="0" xfId="0" applyFont="1" applyProtection="1"/>
    <xf numFmtId="0" fontId="44" fillId="0" borderId="0" xfId="0" applyFont="1" applyAlignment="1" applyProtection="1">
      <alignment vertical="top"/>
    </xf>
    <xf numFmtId="0" fontId="44" fillId="0" borderId="0" xfId="0" applyFont="1" applyFill="1" applyAlignment="1" applyProtection="1">
      <alignment vertical="top"/>
    </xf>
    <xf numFmtId="0" fontId="1" fillId="0" borderId="0" xfId="0" applyFont="1"/>
    <xf numFmtId="0" fontId="1" fillId="0" borderId="0" xfId="0" applyNumberFormat="1" applyFont="1" applyProtection="1"/>
    <xf numFmtId="0" fontId="0" fillId="0" borderId="14" xfId="0" applyBorder="1" applyProtection="1"/>
    <xf numFmtId="0" fontId="23" fillId="0" borderId="0" xfId="0" applyFont="1" applyBorder="1" applyProtection="1"/>
    <xf numFmtId="0" fontId="11" fillId="0" borderId="0" xfId="0" applyFont="1" applyBorder="1" applyProtection="1"/>
    <xf numFmtId="0" fontId="0" fillId="6" borderId="0" xfId="0" applyFill="1" applyAlignment="1" applyProtection="1">
      <alignment vertical="top"/>
    </xf>
    <xf numFmtId="0" fontId="0" fillId="6" borderId="0" xfId="0" applyFill="1"/>
    <xf numFmtId="0" fontId="0" fillId="6" borderId="0" xfId="0" applyFill="1" applyAlignment="1">
      <alignment vertical="top"/>
    </xf>
    <xf numFmtId="0" fontId="46" fillId="0" borderId="0" xfId="0" applyFont="1" applyAlignment="1" applyProtection="1">
      <alignment horizontal="right"/>
    </xf>
    <xf numFmtId="0" fontId="0" fillId="2" borderId="0" xfId="0" applyFill="1" applyAlignment="1">
      <alignment horizontal="center" vertical="top"/>
    </xf>
    <xf numFmtId="0" fontId="0" fillId="0" borderId="0" xfId="0" applyAlignment="1">
      <alignment horizontal="center" vertical="top"/>
    </xf>
    <xf numFmtId="0" fontId="1" fillId="0" borderId="0" xfId="0" applyFont="1" applyAlignment="1">
      <alignment horizontal="center" vertical="top"/>
    </xf>
    <xf numFmtId="0" fontId="1" fillId="0" borderId="0" xfId="0" applyFont="1" applyAlignment="1">
      <alignment horizontal="center" vertical="center"/>
    </xf>
    <xf numFmtId="0" fontId="1" fillId="0" borderId="0" xfId="0" applyFont="1" applyAlignment="1">
      <alignment horizontal="left" vertical="top"/>
    </xf>
    <xf numFmtId="0" fontId="45" fillId="0" borderId="0" xfId="0" applyFont="1" applyAlignment="1">
      <alignment horizontal="center" readingOrder="1"/>
    </xf>
    <xf numFmtId="0" fontId="4" fillId="9" borderId="0" xfId="0" applyFont="1" applyFill="1" applyAlignment="1">
      <alignment horizontal="center" vertical="center"/>
    </xf>
    <xf numFmtId="0" fontId="4" fillId="9" borderId="0" xfId="0" applyFont="1" applyFill="1" applyAlignment="1">
      <alignment horizontal="center" vertical="top" wrapText="1"/>
    </xf>
    <xf numFmtId="0" fontId="1" fillId="0" borderId="0" xfId="0" applyFont="1" applyAlignment="1">
      <alignment horizontal="left" vertical="top" wrapText="1"/>
    </xf>
    <xf numFmtId="0" fontId="0" fillId="0" borderId="0" xfId="0" applyAlignment="1">
      <alignment vertical="top"/>
    </xf>
    <xf numFmtId="0" fontId="0" fillId="2" borderId="0" xfId="0" applyFill="1" applyAlignment="1">
      <alignment vertical="top"/>
    </xf>
    <xf numFmtId="0" fontId="0" fillId="0" borderId="0" xfId="0" applyBorder="1" applyAlignment="1" applyProtection="1">
      <alignment horizontal="left" vertical="top" wrapText="1"/>
    </xf>
    <xf numFmtId="0" fontId="0" fillId="0" borderId="0" xfId="0" applyFill="1" applyAlignment="1" applyProtection="1"/>
    <xf numFmtId="0" fontId="0" fillId="0" borderId="0" xfId="0" applyBorder="1" applyAlignment="1" applyProtection="1">
      <alignment horizontal="left" vertical="top" wrapText="1"/>
    </xf>
    <xf numFmtId="0" fontId="39" fillId="0" borderId="0" xfId="0" applyFont="1" applyProtection="1"/>
    <xf numFmtId="0" fontId="37" fillId="0" borderId="0" xfId="0" applyFont="1" applyFill="1" applyBorder="1" applyAlignment="1" applyProtection="1">
      <alignment horizontal="left"/>
    </xf>
    <xf numFmtId="0" fontId="1" fillId="0" borderId="0" xfId="0" applyFont="1" applyAlignment="1">
      <alignment vertical="top"/>
    </xf>
    <xf numFmtId="0" fontId="1" fillId="0" borderId="0" xfId="0" applyFont="1" applyAlignment="1">
      <alignment horizontal="right" vertical="top"/>
    </xf>
    <xf numFmtId="0" fontId="0" fillId="0" borderId="0" xfId="0" applyAlignment="1">
      <alignment horizontal="right" vertical="top"/>
    </xf>
    <xf numFmtId="0" fontId="1" fillId="0" borderId="0" xfId="2"/>
    <xf numFmtId="0" fontId="1" fillId="0" borderId="0" xfId="2" applyProtection="1"/>
    <xf numFmtId="0" fontId="1" fillId="0" borderId="0" xfId="2" applyFill="1" applyProtection="1"/>
    <xf numFmtId="0" fontId="9" fillId="0" borderId="0" xfId="2" applyFont="1" applyFill="1" applyProtection="1"/>
    <xf numFmtId="0" fontId="1" fillId="0" borderId="0" xfId="2" applyAlignment="1" applyProtection="1">
      <alignment vertical="top"/>
    </xf>
    <xf numFmtId="0" fontId="36" fillId="0" borderId="0" xfId="2" applyFont="1" applyAlignment="1" applyProtection="1">
      <alignment vertical="top"/>
    </xf>
    <xf numFmtId="0" fontId="1" fillId="0" borderId="0" xfId="2" applyBorder="1" applyProtection="1"/>
    <xf numFmtId="0" fontId="2" fillId="0" borderId="0" xfId="2" applyFont="1" applyAlignment="1" applyProtection="1">
      <alignment vertical="top"/>
    </xf>
    <xf numFmtId="0" fontId="13" fillId="0" borderId="0" xfId="2" applyFont="1" applyProtection="1"/>
    <xf numFmtId="0" fontId="10" fillId="0" borderId="0" xfId="2" applyFont="1" applyBorder="1" applyAlignment="1" applyProtection="1">
      <alignment horizontal="center"/>
    </xf>
    <xf numFmtId="0" fontId="13" fillId="0" borderId="0" xfId="2" applyFont="1" applyBorder="1" applyProtection="1"/>
    <xf numFmtId="0" fontId="4" fillId="0" borderId="0" xfId="2" applyFont="1" applyProtection="1"/>
    <xf numFmtId="0" fontId="1" fillId="0" borderId="0" xfId="2" applyFill="1" applyBorder="1" applyProtection="1"/>
    <xf numFmtId="0" fontId="4" fillId="0" borderId="0" xfId="2" applyFont="1" applyFill="1" applyProtection="1"/>
    <xf numFmtId="0" fontId="30" fillId="0" borderId="0" xfId="2" applyFont="1" applyProtection="1"/>
    <xf numFmtId="0" fontId="6" fillId="0" borderId="0" xfId="2" applyFont="1" applyProtection="1"/>
    <xf numFmtId="0" fontId="1" fillId="0" borderId="0" xfId="2" applyAlignment="1" applyProtection="1"/>
    <xf numFmtId="0" fontId="1" fillId="0" borderId="0" xfId="2" applyBorder="1" applyAlignment="1" applyProtection="1">
      <alignment horizontal="left" vertical="top" wrapText="1"/>
    </xf>
    <xf numFmtId="0" fontId="11" fillId="0" borderId="0" xfId="2" applyFont="1" applyProtection="1"/>
    <xf numFmtId="0" fontId="10" fillId="0" borderId="0" xfId="2" applyFont="1" applyBorder="1" applyProtection="1"/>
    <xf numFmtId="0" fontId="1" fillId="0" borderId="0" xfId="2" applyFont="1" applyProtection="1"/>
    <xf numFmtId="0" fontId="2" fillId="0" borderId="0" xfId="2" applyFont="1" applyAlignment="1" applyProtection="1">
      <alignment vertical="center"/>
    </xf>
    <xf numFmtId="0" fontId="1" fillId="0" borderId="0" xfId="2" applyFill="1" applyAlignment="1" applyProtection="1"/>
    <xf numFmtId="0" fontId="1" fillId="0" borderId="0" xfId="2" applyFill="1" applyAlignment="1" applyProtection="1">
      <alignment vertical="top" wrapText="1"/>
    </xf>
    <xf numFmtId="0" fontId="13" fillId="0" borderId="0" xfId="2" applyFont="1" applyFill="1" applyProtection="1"/>
    <xf numFmtId="0" fontId="10" fillId="0" borderId="0" xfId="2" applyFont="1" applyFill="1" applyBorder="1" applyAlignment="1" applyProtection="1">
      <alignment horizontal="center"/>
    </xf>
    <xf numFmtId="0" fontId="47" fillId="0" borderId="0" xfId="2" applyFont="1" applyFill="1" applyAlignment="1" applyProtection="1">
      <alignment vertical="top"/>
    </xf>
    <xf numFmtId="0" fontId="1" fillId="0" borderId="0" xfId="2" applyFill="1" applyAlignment="1" applyProtection="1">
      <alignment vertical="top"/>
    </xf>
    <xf numFmtId="0" fontId="4" fillId="0" borderId="0" xfId="2" applyFont="1" applyFill="1" applyAlignment="1" applyProtection="1">
      <alignment vertical="top"/>
    </xf>
    <xf numFmtId="0" fontId="2" fillId="0" borderId="0" xfId="2" applyFont="1" applyFill="1" applyAlignment="1" applyProtection="1">
      <alignment vertical="top"/>
    </xf>
    <xf numFmtId="0" fontId="17" fillId="0" borderId="0" xfId="2" applyFont="1" applyFill="1" applyBorder="1" applyProtection="1"/>
    <xf numFmtId="0" fontId="1" fillId="0" borderId="0" xfId="2" applyFill="1" applyBorder="1" applyAlignment="1" applyProtection="1">
      <alignment vertical="top"/>
    </xf>
    <xf numFmtId="0" fontId="1" fillId="0" borderId="0" xfId="2" quotePrefix="1" applyProtection="1"/>
    <xf numFmtId="0" fontId="47" fillId="0" borderId="0" xfId="2" applyFont="1" applyFill="1" applyBorder="1" applyProtection="1"/>
    <xf numFmtId="0" fontId="1" fillId="0" borderId="0" xfId="2" applyFont="1" applyFill="1" applyAlignment="1" applyProtection="1">
      <alignment vertical="top"/>
    </xf>
    <xf numFmtId="0" fontId="1" fillId="0" borderId="0" xfId="2" applyBorder="1"/>
    <xf numFmtId="0" fontId="2" fillId="0" borderId="0" xfId="2" applyFont="1" applyProtection="1"/>
    <xf numFmtId="0" fontId="1" fillId="0" borderId="0" xfId="2" applyFont="1" applyAlignment="1" applyProtection="1">
      <alignment vertical="top"/>
    </xf>
    <xf numFmtId="0" fontId="2" fillId="0" borderId="0" xfId="2" applyFont="1" applyAlignment="1" applyProtection="1">
      <alignment horizontal="left"/>
    </xf>
    <xf numFmtId="0" fontId="1" fillId="0" borderId="0" xfId="2" applyFont="1" applyFill="1" applyBorder="1" applyAlignment="1" applyProtection="1">
      <alignment vertical="top"/>
    </xf>
    <xf numFmtId="0" fontId="1" fillId="0" borderId="0" xfId="2" applyFont="1" applyFill="1" applyProtection="1"/>
    <xf numFmtId="0" fontId="26" fillId="0" borderId="0" xfId="1" applyAlignment="1" applyProtection="1"/>
    <xf numFmtId="0" fontId="6" fillId="0" borderId="0" xfId="2" applyFont="1" applyFill="1" applyProtection="1"/>
    <xf numFmtId="0" fontId="30" fillId="0" borderId="0" xfId="2" applyFont="1" applyFill="1" applyProtection="1"/>
    <xf numFmtId="0" fontId="6" fillId="0" borderId="0" xfId="2" applyFont="1" applyFill="1" applyAlignment="1" applyProtection="1">
      <alignment vertical="center"/>
    </xf>
    <xf numFmtId="0" fontId="1" fillId="0" borderId="0" xfId="2" applyFill="1" applyBorder="1" applyAlignment="1" applyProtection="1">
      <alignment horizontal="left" vertical="top" wrapText="1"/>
    </xf>
    <xf numFmtId="0" fontId="9" fillId="0" borderId="0" xfId="2" applyFont="1" applyFill="1" applyBorder="1" applyProtection="1"/>
    <xf numFmtId="0" fontId="23" fillId="0" borderId="0" xfId="2" applyFont="1" applyFill="1" applyProtection="1"/>
    <xf numFmtId="0" fontId="49" fillId="0" borderId="0" xfId="2" applyFont="1" applyFill="1" applyProtection="1"/>
    <xf numFmtId="0" fontId="13" fillId="0" borderId="0" xfId="2" applyFont="1" applyFill="1" applyBorder="1" applyProtection="1"/>
    <xf numFmtId="0" fontId="30" fillId="0" borderId="0" xfId="2" applyFont="1" applyAlignment="1" applyProtection="1">
      <alignment vertical="top"/>
    </xf>
    <xf numFmtId="0" fontId="1" fillId="0" borderId="0" xfId="2" applyBorder="1" applyAlignment="1" applyProtection="1">
      <alignment vertical="top"/>
    </xf>
    <xf numFmtId="0" fontId="4" fillId="0" borderId="0" xfId="2" applyFont="1" applyAlignment="1" applyProtection="1">
      <alignment vertical="top"/>
    </xf>
    <xf numFmtId="0" fontId="1" fillId="0" borderId="0" xfId="2" applyFont="1" applyBorder="1" applyAlignment="1" applyProtection="1">
      <alignment horizontal="left" vertical="top"/>
    </xf>
    <xf numFmtId="0" fontId="1" fillId="0" borderId="0" xfId="2" applyFont="1" applyAlignment="1" applyProtection="1">
      <alignment horizontal="right"/>
    </xf>
    <xf numFmtId="0" fontId="1" fillId="0" borderId="0" xfId="2" applyFont="1" applyFill="1" applyAlignment="1" applyProtection="1">
      <alignment horizontal="right"/>
    </xf>
    <xf numFmtId="1" fontId="1" fillId="0" borderId="17" xfId="2" applyNumberFormat="1" applyBorder="1" applyAlignment="1" applyProtection="1">
      <alignment vertical="top"/>
      <protection locked="0"/>
    </xf>
    <xf numFmtId="0" fontId="28" fillId="0" borderId="0" xfId="2" applyFont="1" applyAlignment="1" applyProtection="1">
      <alignment horizontal="left" vertical="center"/>
    </xf>
    <xf numFmtId="0" fontId="28" fillId="0" borderId="0" xfId="2" applyFont="1" applyAlignment="1" applyProtection="1">
      <alignment horizontal="left" vertical="top"/>
    </xf>
    <xf numFmtId="0" fontId="1" fillId="0" borderId="0" xfId="2" applyBorder="1" applyAlignment="1" applyProtection="1">
      <alignment vertical="top" wrapText="1"/>
    </xf>
    <xf numFmtId="0" fontId="14" fillId="0" borderId="0" xfId="2" applyFont="1" applyBorder="1" applyAlignment="1" applyProtection="1">
      <alignment vertical="top"/>
    </xf>
    <xf numFmtId="0" fontId="1" fillId="0" borderId="0" xfId="2" applyBorder="1" applyAlignment="1" applyProtection="1">
      <alignment vertical="center"/>
    </xf>
    <xf numFmtId="0" fontId="1" fillId="0" borderId="0" xfId="2" applyAlignment="1" applyProtection="1">
      <alignment vertical="center"/>
    </xf>
    <xf numFmtId="0" fontId="7" fillId="0" borderId="0" xfId="2" applyFont="1" applyBorder="1" applyAlignment="1" applyProtection="1">
      <alignment vertical="top"/>
    </xf>
    <xf numFmtId="0" fontId="20" fillId="0" borderId="0" xfId="2" applyFont="1" applyAlignment="1" applyProtection="1">
      <alignment vertical="center"/>
    </xf>
    <xf numFmtId="0" fontId="20" fillId="0" borderId="0" xfId="2" applyFont="1" applyBorder="1" applyAlignment="1" applyProtection="1">
      <alignment vertical="center"/>
    </xf>
    <xf numFmtId="0" fontId="20" fillId="0" borderId="0" xfId="2" applyFont="1" applyAlignment="1" applyProtection="1">
      <alignment vertical="top"/>
    </xf>
    <xf numFmtId="49" fontId="1" fillId="0" borderId="0" xfId="2" applyNumberFormat="1" applyAlignment="1">
      <alignment horizontal="center"/>
    </xf>
    <xf numFmtId="0" fontId="50" fillId="0" borderId="0" xfId="2" applyFont="1" applyAlignment="1" applyProtection="1">
      <alignment horizontal="center" vertical="top" wrapText="1"/>
    </xf>
    <xf numFmtId="0" fontId="29" fillId="0" borderId="0" xfId="2" applyFont="1" applyAlignment="1" applyProtection="1">
      <alignment horizontal="center" vertical="top" wrapText="1"/>
    </xf>
    <xf numFmtId="0" fontId="1" fillId="0" borderId="0" xfId="2" applyBorder="1" applyAlignment="1"/>
    <xf numFmtId="0" fontId="5" fillId="0" borderId="0" xfId="2" applyFont="1" applyBorder="1" applyAlignment="1"/>
    <xf numFmtId="0" fontId="14" fillId="0" borderId="0" xfId="2" applyFont="1" applyAlignment="1" applyProtection="1">
      <alignment horizontal="right" vertical="top"/>
    </xf>
    <xf numFmtId="49" fontId="2" fillId="0" borderId="0" xfId="2" applyNumberFormat="1" applyFont="1" applyAlignment="1" applyProtection="1">
      <alignment vertical="top"/>
    </xf>
    <xf numFmtId="0" fontId="18" fillId="0" borderId="0" xfId="2" applyFont="1" applyFill="1" applyAlignment="1" applyProtection="1">
      <alignment vertical="top"/>
    </xf>
    <xf numFmtId="0" fontId="5" fillId="0" borderId="0" xfId="2" applyFont="1" applyFill="1" applyBorder="1" applyProtection="1"/>
    <xf numFmtId="0" fontId="52" fillId="0" borderId="0" xfId="0" applyFont="1" applyAlignment="1">
      <alignment horizontal="right"/>
    </xf>
    <xf numFmtId="0" fontId="12" fillId="0" borderId="0" xfId="2" applyFont="1" applyFill="1" applyBorder="1" applyProtection="1"/>
    <xf numFmtId="0" fontId="28" fillId="0" borderId="0" xfId="2" applyFont="1" applyAlignment="1" applyProtection="1">
      <alignment horizontal="left" vertical="center"/>
    </xf>
    <xf numFmtId="0" fontId="1" fillId="0" borderId="0" xfId="2" applyBorder="1" applyAlignment="1" applyProtection="1">
      <alignment horizontal="left" vertical="top"/>
    </xf>
    <xf numFmtId="0" fontId="1" fillId="0" borderId="0" xfId="2" applyFont="1" applyBorder="1" applyAlignment="1" applyProtection="1">
      <alignment horizontal="left" vertical="top" wrapText="1"/>
    </xf>
    <xf numFmtId="0" fontId="33" fillId="0" borderId="0" xfId="2" applyFont="1" applyProtection="1"/>
    <xf numFmtId="0" fontId="5" fillId="0" borderId="0" xfId="2" applyFont="1" applyProtection="1"/>
    <xf numFmtId="0" fontId="5" fillId="0" borderId="0" xfId="2" applyFont="1" applyBorder="1" applyAlignment="1" applyProtection="1">
      <alignment horizontal="left" vertical="top"/>
    </xf>
    <xf numFmtId="0" fontId="5" fillId="0" borderId="0" xfId="2" applyFont="1" applyBorder="1" applyAlignment="1" applyProtection="1">
      <alignment horizontal="left"/>
    </xf>
    <xf numFmtId="1" fontId="1" fillId="0" borderId="0" xfId="2" applyNumberFormat="1" applyBorder="1" applyAlignment="1" applyProtection="1">
      <alignment horizontal="center" vertical="top"/>
    </xf>
    <xf numFmtId="1" fontId="1" fillId="0" borderId="0" xfId="2" applyNumberFormat="1" applyFont="1" applyBorder="1" applyAlignment="1" applyProtection="1">
      <alignment horizontal="center"/>
    </xf>
    <xf numFmtId="1" fontId="1" fillId="0" borderId="0" xfId="2" applyNumberFormat="1" applyBorder="1" applyAlignment="1" applyProtection="1">
      <alignment horizontal="center"/>
    </xf>
    <xf numFmtId="1" fontId="1" fillId="0" borderId="0" xfId="2" applyNumberFormat="1" applyBorder="1" applyAlignment="1" applyProtection="1">
      <alignment vertical="top"/>
    </xf>
    <xf numFmtId="0" fontId="1" fillId="0" borderId="0" xfId="2" applyFont="1" applyFill="1" applyBorder="1" applyAlignment="1" applyProtection="1">
      <alignment horizontal="left" vertical="top" wrapText="1"/>
    </xf>
    <xf numFmtId="0" fontId="9" fillId="0" borderId="0" xfId="2" applyFont="1" applyBorder="1" applyAlignment="1" applyProtection="1">
      <alignment horizontal="left" vertical="top"/>
    </xf>
    <xf numFmtId="0" fontId="52" fillId="0" borderId="0" xfId="0" applyFont="1" applyAlignment="1" applyProtection="1">
      <alignment horizontal="right"/>
    </xf>
    <xf numFmtId="0" fontId="7" fillId="0" borderId="0" xfId="2" applyFont="1" applyBorder="1" applyAlignment="1" applyProtection="1">
      <alignment horizontal="left" vertical="top"/>
    </xf>
    <xf numFmtId="0" fontId="51" fillId="0" borderId="0" xfId="2" applyFont="1" applyBorder="1" applyAlignment="1" applyProtection="1">
      <alignment horizontal="left" vertical="top"/>
    </xf>
    <xf numFmtId="0" fontId="1" fillId="0" borderId="13" xfId="2" applyBorder="1" applyAlignment="1" applyProtection="1">
      <alignment vertical="top" wrapText="1"/>
    </xf>
    <xf numFmtId="0" fontId="46" fillId="0" borderId="0" xfId="2" applyFont="1" applyBorder="1" applyAlignment="1" applyProtection="1">
      <alignment horizontal="left" vertical="top"/>
    </xf>
    <xf numFmtId="0" fontId="46" fillId="0" borderId="0" xfId="2" applyFont="1" applyFill="1" applyAlignment="1" applyProtection="1"/>
    <xf numFmtId="0" fontId="2" fillId="0" borderId="0" xfId="2" applyFont="1" applyBorder="1" applyAlignment="1" applyProtection="1">
      <alignment horizontal="left" vertical="center"/>
    </xf>
    <xf numFmtId="0" fontId="1" fillId="0" borderId="0" xfId="2" applyAlignment="1" applyProtection="1">
      <alignment horizontal="right" vertical="center"/>
    </xf>
    <xf numFmtId="0" fontId="53" fillId="0" borderId="0" xfId="2" applyFont="1"/>
    <xf numFmtId="49" fontId="2" fillId="6" borderId="0" xfId="2" applyNumberFormat="1" applyFont="1" applyFill="1" applyAlignment="1" applyProtection="1">
      <alignment vertical="top"/>
    </xf>
    <xf numFmtId="0" fontId="1" fillId="6" borderId="0" xfId="2" applyFill="1" applyAlignment="1" applyProtection="1">
      <alignment vertical="top"/>
    </xf>
    <xf numFmtId="0" fontId="14" fillId="0" borderId="0" xfId="0" applyFont="1" applyBorder="1" applyAlignment="1" applyProtection="1">
      <alignment horizontal="left" vertical="top" wrapText="1"/>
    </xf>
    <xf numFmtId="0" fontId="14" fillId="0" borderId="0" xfId="0" applyFont="1" applyBorder="1" applyProtection="1"/>
    <xf numFmtId="0" fontId="14" fillId="0" borderId="0" xfId="0" applyFont="1" applyBorder="1" applyAlignment="1" applyProtection="1">
      <alignment vertical="top" wrapText="1"/>
    </xf>
    <xf numFmtId="0" fontId="14" fillId="0" borderId="0" xfId="0" applyFont="1" applyProtection="1"/>
    <xf numFmtId="0" fontId="19" fillId="0" borderId="0" xfId="0" applyFont="1" applyProtection="1"/>
    <xf numFmtId="0" fontId="14" fillId="0" borderId="14" xfId="0" applyFont="1" applyBorder="1" applyProtection="1"/>
    <xf numFmtId="0" fontId="14" fillId="0" borderId="0" xfId="0" applyFont="1" applyBorder="1" applyAlignment="1" applyProtection="1"/>
    <xf numFmtId="0" fontId="14" fillId="0" borderId="0" xfId="0" applyFont="1" applyFill="1" applyProtection="1"/>
    <xf numFmtId="0" fontId="14" fillId="0" borderId="0" xfId="0" applyFont="1" applyFill="1" applyBorder="1" applyProtection="1"/>
    <xf numFmtId="0" fontId="14" fillId="0" borderId="0" xfId="0" applyFont="1" applyBorder="1" applyAlignment="1" applyProtection="1">
      <alignment horizontal="center"/>
    </xf>
    <xf numFmtId="0" fontId="14" fillId="0" borderId="0" xfId="0" applyFont="1" applyAlignment="1" applyProtection="1">
      <alignment horizontal="left" vertical="top"/>
    </xf>
    <xf numFmtId="0" fontId="14" fillId="0" borderId="0" xfId="0" applyFont="1" applyAlignment="1" applyProtection="1">
      <alignment vertical="top"/>
    </xf>
    <xf numFmtId="0" fontId="14" fillId="0" borderId="0" xfId="0" applyFont="1" applyBorder="1" applyAlignment="1" applyProtection="1">
      <alignment vertical="top"/>
    </xf>
    <xf numFmtId="0" fontId="14" fillId="0" borderId="0" xfId="0" applyFont="1" applyBorder="1" applyAlignment="1" applyProtection="1">
      <alignment horizontal="left" vertical="top"/>
    </xf>
    <xf numFmtId="0" fontId="14" fillId="0" borderId="0" xfId="0" applyFont="1" applyFill="1" applyBorder="1" applyAlignment="1" applyProtection="1">
      <alignment horizontal="left" vertical="top" wrapText="1"/>
    </xf>
    <xf numFmtId="0" fontId="14" fillId="0" borderId="14" xfId="0" applyFont="1" applyFill="1" applyBorder="1" applyProtection="1"/>
    <xf numFmtId="0" fontId="14" fillId="0" borderId="0" xfId="0" applyFont="1" applyFill="1" applyBorder="1" applyAlignment="1" applyProtection="1">
      <alignment horizontal="center" vertical="top" wrapText="1"/>
    </xf>
    <xf numFmtId="0" fontId="19" fillId="0" borderId="0" xfId="0" applyFont="1" applyBorder="1" applyProtection="1"/>
    <xf numFmtId="0" fontId="14" fillId="0" borderId="0" xfId="0" applyFont="1" applyAlignment="1" applyProtection="1">
      <alignment vertical="top" wrapText="1"/>
    </xf>
    <xf numFmtId="0" fontId="14" fillId="0" borderId="0" xfId="0" applyFont="1" applyFill="1" applyAlignment="1" applyProtection="1">
      <alignment horizontal="center" vertical="top" wrapText="1"/>
    </xf>
    <xf numFmtId="0" fontId="14" fillId="0" borderId="0" xfId="0" applyFont="1"/>
    <xf numFmtId="0" fontId="2" fillId="0" borderId="0" xfId="0" quotePrefix="1" applyFont="1" applyAlignment="1" applyProtection="1">
      <alignment vertical="top"/>
    </xf>
    <xf numFmtId="0" fontId="33" fillId="0" borderId="0" xfId="0" applyFont="1" applyAlignment="1" applyProtection="1">
      <alignment vertical="top"/>
    </xf>
    <xf numFmtId="0" fontId="59" fillId="0" borderId="0" xfId="0" applyFont="1" applyAlignment="1" applyProtection="1">
      <alignment horizontal="right"/>
    </xf>
    <xf numFmtId="0" fontId="60" fillId="0" borderId="0" xfId="0" applyFont="1" applyProtection="1"/>
    <xf numFmtId="0" fontId="14" fillId="0" borderId="0" xfId="0" applyFont="1" applyAlignment="1" applyProtection="1">
      <alignment horizontal="left" vertical="top" wrapText="1"/>
    </xf>
    <xf numFmtId="0" fontId="54" fillId="0" borderId="0" xfId="0" applyFont="1" applyAlignment="1" applyProtection="1">
      <alignment horizontal="left" vertical="top" wrapText="1"/>
    </xf>
    <xf numFmtId="0" fontId="14" fillId="0" borderId="13" xfId="0" applyFont="1" applyBorder="1" applyAlignment="1" applyProtection="1">
      <alignment vertical="top"/>
    </xf>
    <xf numFmtId="0" fontId="14" fillId="0" borderId="0" xfId="0" applyFont="1" applyAlignment="1" applyProtection="1">
      <alignment horizontal="right"/>
    </xf>
    <xf numFmtId="0" fontId="14" fillId="0" borderId="0" xfId="0" applyFont="1" applyAlignment="1" applyProtection="1"/>
    <xf numFmtId="0" fontId="14" fillId="0" borderId="0" xfId="2" applyFont="1" applyProtection="1"/>
    <xf numFmtId="0" fontId="14" fillId="0" borderId="0" xfId="2" applyFont="1" applyAlignment="1" applyProtection="1">
      <alignment horizontal="left" vertical="top"/>
    </xf>
    <xf numFmtId="0" fontId="14" fillId="0" borderId="0" xfId="2" applyFont="1" applyAlignment="1" applyProtection="1">
      <alignment vertical="top"/>
    </xf>
    <xf numFmtId="0" fontId="14" fillId="0" borderId="0" xfId="2" applyFont="1" applyBorder="1" applyAlignment="1" applyProtection="1">
      <alignment vertical="top" wrapText="1"/>
    </xf>
    <xf numFmtId="0" fontId="14" fillId="0" borderId="0" xfId="2" applyFont="1" applyFill="1" applyProtection="1"/>
    <xf numFmtId="0" fontId="14" fillId="0" borderId="0" xfId="2" applyFont="1" applyFill="1" applyAlignment="1" applyProtection="1">
      <alignment horizontal="right"/>
    </xf>
    <xf numFmtId="1" fontId="14" fillId="0" borderId="0" xfId="2" applyNumberFormat="1" applyFont="1" applyBorder="1" applyAlignment="1" applyProtection="1">
      <alignment horizontal="center"/>
    </xf>
    <xf numFmtId="0" fontId="14" fillId="0" borderId="0" xfId="2" applyFont="1" applyBorder="1" applyAlignment="1" applyProtection="1">
      <alignment horizontal="left" vertical="top" wrapText="1"/>
    </xf>
    <xf numFmtId="0" fontId="14" fillId="0" borderId="0" xfId="2" applyFont="1" applyBorder="1" applyAlignment="1" applyProtection="1">
      <alignment horizontal="center" vertical="top"/>
    </xf>
    <xf numFmtId="0" fontId="14" fillId="0" borderId="0" xfId="2" applyFont="1" applyFill="1" applyBorder="1" applyAlignment="1" applyProtection="1">
      <alignment horizontal="left" vertical="top" wrapText="1"/>
    </xf>
    <xf numFmtId="0" fontId="20" fillId="0" borderId="0" xfId="2" applyFont="1" applyFill="1" applyBorder="1" applyAlignment="1" applyProtection="1">
      <alignment horizontal="left" vertical="top" wrapText="1"/>
    </xf>
    <xf numFmtId="0" fontId="20" fillId="0" borderId="0" xfId="2" applyFont="1" applyProtection="1"/>
    <xf numFmtId="1" fontId="14" fillId="0" borderId="0" xfId="0" applyNumberFormat="1" applyFont="1" applyAlignment="1">
      <alignment horizontal="center" vertical="top"/>
    </xf>
    <xf numFmtId="0" fontId="14" fillId="0" borderId="0" xfId="0" applyFont="1" applyAlignment="1" applyProtection="1">
      <alignment horizontal="left" vertical="top" wrapText="1"/>
      <protection locked="0"/>
    </xf>
    <xf numFmtId="0" fontId="14" fillId="0" borderId="0" xfId="0" applyFont="1" applyAlignment="1" applyProtection="1">
      <alignment wrapText="1"/>
      <protection locked="0"/>
    </xf>
    <xf numFmtId="0" fontId="14" fillId="0" borderId="0" xfId="0" applyNumberFormat="1" applyFont="1"/>
    <xf numFmtId="0" fontId="33" fillId="0" borderId="0" xfId="2" applyFont="1" applyAlignment="1" applyProtection="1">
      <alignment horizontal="right" vertical="center"/>
    </xf>
    <xf numFmtId="0" fontId="19" fillId="0" borderId="0" xfId="2" applyFont="1" applyProtection="1"/>
    <xf numFmtId="0" fontId="14" fillId="0" borderId="0" xfId="2" applyFont="1" applyAlignment="1" applyProtection="1">
      <alignment vertical="top" wrapText="1"/>
    </xf>
    <xf numFmtId="0" fontId="19" fillId="0" borderId="0" xfId="2" applyFont="1" applyFill="1" applyProtection="1"/>
    <xf numFmtId="0" fontId="14" fillId="0" borderId="0" xfId="2" applyFont="1" applyFill="1" applyAlignment="1" applyProtection="1">
      <alignment vertical="top" wrapText="1"/>
    </xf>
    <xf numFmtId="0" fontId="14" fillId="0" borderId="0" xfId="2" applyFont="1" applyFill="1" applyAlignment="1" applyProtection="1"/>
    <xf numFmtId="0" fontId="2" fillId="0" borderId="0" xfId="2" quotePrefix="1" applyFont="1" applyProtection="1"/>
    <xf numFmtId="0" fontId="14" fillId="0" borderId="0" xfId="0" applyNumberFormat="1" applyFont="1" applyAlignment="1">
      <alignment horizontal="left" vertical="top"/>
    </xf>
    <xf numFmtId="0" fontId="13" fillId="0" borderId="0" xfId="2" applyFont="1" applyAlignment="1" applyProtection="1">
      <alignment vertical="center"/>
    </xf>
    <xf numFmtId="0" fontId="18" fillId="0" borderId="0" xfId="2" applyFont="1" applyFill="1" applyBorder="1" applyAlignment="1" applyProtection="1">
      <alignment vertical="top"/>
    </xf>
    <xf numFmtId="0" fontId="33" fillId="0" borderId="0" xfId="2" applyFont="1" applyFill="1" applyBorder="1" applyAlignment="1" applyProtection="1">
      <alignment vertical="top"/>
    </xf>
    <xf numFmtId="0" fontId="14" fillId="0" borderId="0" xfId="2" applyFont="1" applyFill="1" applyBorder="1" applyAlignment="1" applyProtection="1">
      <alignment vertical="top"/>
    </xf>
    <xf numFmtId="0" fontId="33" fillId="0" borderId="0" xfId="2" applyFont="1" applyAlignment="1" applyProtection="1">
      <alignment vertical="top"/>
    </xf>
    <xf numFmtId="0" fontId="14" fillId="0" borderId="0" xfId="2" applyFont="1" applyFill="1" applyBorder="1" applyProtection="1"/>
    <xf numFmtId="0" fontId="33" fillId="0" borderId="0" xfId="2" applyFont="1" applyFill="1" applyAlignment="1" applyProtection="1">
      <alignment vertical="top"/>
    </xf>
    <xf numFmtId="0" fontId="14" fillId="0" borderId="0" xfId="2" applyFont="1" applyAlignment="1" applyProtection="1">
      <alignment horizontal="right"/>
    </xf>
    <xf numFmtId="0" fontId="14" fillId="0" borderId="0" xfId="2" applyFont="1" applyFill="1" applyAlignment="1" applyProtection="1">
      <alignment vertical="top"/>
    </xf>
    <xf numFmtId="0" fontId="14" fillId="0" borderId="0" xfId="2" applyFont="1" applyBorder="1" applyAlignment="1" applyProtection="1">
      <alignment horizontal="left" vertical="top"/>
    </xf>
    <xf numFmtId="0" fontId="62" fillId="0" borderId="0" xfId="2" applyFont="1" applyBorder="1" applyAlignment="1" applyProtection="1">
      <alignment horizontal="left" vertical="top"/>
    </xf>
    <xf numFmtId="0" fontId="14" fillId="0" borderId="0" xfId="2" applyFont="1"/>
    <xf numFmtId="0" fontId="14" fillId="0" borderId="0" xfId="2" applyFont="1" applyAlignment="1" applyProtection="1">
      <alignment vertical="center"/>
    </xf>
    <xf numFmtId="0" fontId="14" fillId="0" borderId="0" xfId="2" applyFont="1" applyAlignment="1" applyProtection="1">
      <alignment horizontal="right" vertical="center"/>
    </xf>
    <xf numFmtId="0" fontId="2" fillId="0" borderId="0" xfId="2" quotePrefix="1" applyFont="1" applyFill="1" applyAlignment="1" applyProtection="1">
      <alignment horizontal="left" vertical="top"/>
    </xf>
    <xf numFmtId="0" fontId="14" fillId="0" borderId="0" xfId="2" applyFont="1" applyAlignment="1" applyProtection="1"/>
    <xf numFmtId="0" fontId="1" fillId="0" borderId="0" xfId="2" applyAlignment="1" applyProtection="1">
      <alignment horizontal="center"/>
    </xf>
    <xf numFmtId="0" fontId="1" fillId="0" borderId="0" xfId="2" applyAlignment="1">
      <alignment horizontal="center"/>
    </xf>
    <xf numFmtId="0" fontId="5" fillId="0" borderId="0" xfId="2" applyFont="1" applyBorder="1" applyAlignment="1">
      <alignment horizontal="center"/>
    </xf>
    <xf numFmtId="0" fontId="1" fillId="0" borderId="16" xfId="2" applyBorder="1" applyAlignment="1">
      <alignment horizontal="center"/>
    </xf>
    <xf numFmtId="0" fontId="2" fillId="0" borderId="0" xfId="2" applyFont="1" applyAlignment="1">
      <alignment vertical="top"/>
    </xf>
    <xf numFmtId="0" fontId="2" fillId="0" borderId="0" xfId="2" quotePrefix="1" applyFont="1" applyAlignment="1" applyProtection="1">
      <alignment vertical="top"/>
    </xf>
    <xf numFmtId="0" fontId="14" fillId="0" borderId="0" xfId="0" applyFont="1" applyAlignment="1">
      <alignment vertical="top"/>
    </xf>
    <xf numFmtId="0" fontId="4" fillId="6" borderId="0" xfId="2" applyFont="1" applyFill="1" applyProtection="1"/>
    <xf numFmtId="0" fontId="63" fillId="0" borderId="0" xfId="2" applyFont="1" applyProtection="1"/>
    <xf numFmtId="0" fontId="0" fillId="0" borderId="0" xfId="0" applyAlignment="1">
      <alignment wrapText="1"/>
    </xf>
    <xf numFmtId="0" fontId="14" fillId="6" borderId="0" xfId="2" applyFont="1" applyFill="1" applyBorder="1" applyAlignment="1" applyProtection="1">
      <alignment horizontal="left" vertical="top" wrapText="1"/>
    </xf>
    <xf numFmtId="0" fontId="64" fillId="0" borderId="0" xfId="0" applyFont="1" applyAlignment="1" applyProtection="1">
      <alignment vertical="top"/>
    </xf>
    <xf numFmtId="0" fontId="66" fillId="0" borderId="0" xfId="0" applyFont="1" applyAlignment="1" applyProtection="1">
      <alignment vertical="top"/>
    </xf>
    <xf numFmtId="0" fontId="14" fillId="0" borderId="0" xfId="2" applyFont="1" applyBorder="1" applyProtection="1"/>
    <xf numFmtId="0" fontId="2" fillId="0" borderId="0" xfId="2" applyFont="1" applyBorder="1" applyAlignment="1" applyProtection="1">
      <alignment horizontal="left"/>
    </xf>
    <xf numFmtId="0" fontId="66" fillId="0" borderId="0" xfId="2" applyFont="1" applyAlignment="1" applyProtection="1">
      <alignment vertical="top"/>
    </xf>
    <xf numFmtId="0" fontId="2" fillId="0" borderId="0" xfId="2" applyFont="1" applyFill="1" applyAlignment="1" applyProtection="1">
      <alignment horizontal="left" vertical="top"/>
    </xf>
    <xf numFmtId="0" fontId="46" fillId="0" borderId="0" xfId="2" applyFont="1" applyProtection="1"/>
    <xf numFmtId="0" fontId="5" fillId="0" borderId="0" xfId="2" applyFont="1" applyFill="1" applyAlignment="1" applyProtection="1">
      <alignment vertical="top"/>
    </xf>
    <xf numFmtId="0" fontId="1" fillId="6" borderId="0" xfId="2" applyFill="1" applyProtection="1"/>
    <xf numFmtId="0" fontId="51" fillId="0" borderId="0" xfId="0" applyFont="1"/>
    <xf numFmtId="0" fontId="2" fillId="6" borderId="0" xfId="2" applyFont="1" applyFill="1" applyAlignment="1" applyProtection="1">
      <alignment vertical="top"/>
    </xf>
    <xf numFmtId="0" fontId="46" fillId="0" borderId="0" xfId="2" applyFont="1" applyBorder="1" applyAlignment="1" applyProtection="1">
      <alignment vertical="top"/>
    </xf>
    <xf numFmtId="0" fontId="1" fillId="0" borderId="0" xfId="2" applyBorder="1" applyAlignment="1" applyProtection="1">
      <alignment horizontal="right" vertical="top"/>
    </xf>
    <xf numFmtId="0" fontId="46" fillId="0" borderId="0" xfId="2" applyFont="1" applyBorder="1" applyAlignment="1" applyProtection="1">
      <alignment horizontal="center" vertical="top"/>
    </xf>
    <xf numFmtId="0" fontId="1" fillId="0" borderId="0" xfId="2" applyAlignment="1" applyProtection="1">
      <alignment horizontal="left" vertical="center"/>
    </xf>
    <xf numFmtId="2" fontId="1" fillId="0" borderId="0" xfId="2" applyNumberFormat="1" applyFont="1" applyFill="1" applyProtection="1"/>
    <xf numFmtId="2" fontId="1" fillId="0" borderId="0" xfId="2" applyNumberFormat="1" applyProtection="1"/>
    <xf numFmtId="0" fontId="46" fillId="6" borderId="0" xfId="2" applyFont="1" applyFill="1" applyProtection="1"/>
    <xf numFmtId="0" fontId="0" fillId="7" borderId="0" xfId="0" applyFill="1" applyAlignment="1">
      <alignment vertical="top"/>
    </xf>
    <xf numFmtId="0" fontId="0" fillId="7" borderId="0" xfId="0" applyFill="1" applyAlignment="1">
      <alignment horizontal="center" vertical="top"/>
    </xf>
    <xf numFmtId="0" fontId="0" fillId="7" borderId="0" xfId="0" applyFill="1" applyAlignment="1">
      <alignment wrapText="1"/>
    </xf>
    <xf numFmtId="0" fontId="14" fillId="0" borderId="0" xfId="0" applyFont="1" applyBorder="1" applyAlignment="1" applyProtection="1">
      <alignment horizontal="left" vertical="top" wrapText="1"/>
    </xf>
    <xf numFmtId="0" fontId="14" fillId="0" borderId="12" xfId="2" applyFont="1" applyBorder="1" applyAlignment="1" applyProtection="1">
      <alignment horizontal="left" vertical="top" wrapText="1"/>
    </xf>
    <xf numFmtId="0" fontId="14" fillId="0" borderId="0" xfId="2" applyFont="1" applyBorder="1" applyAlignment="1" applyProtection="1">
      <alignment horizontal="left" vertical="top" wrapText="1"/>
    </xf>
    <xf numFmtId="0" fontId="14" fillId="0" borderId="0" xfId="2" applyFont="1" applyFill="1" applyBorder="1" applyAlignment="1" applyProtection="1">
      <alignment horizontal="left" vertical="top" wrapText="1"/>
    </xf>
    <xf numFmtId="0" fontId="14" fillId="0" borderId="0" xfId="2" applyFont="1" applyAlignment="1" applyProtection="1">
      <alignment horizontal="left" vertical="top" wrapText="1"/>
    </xf>
    <xf numFmtId="164" fontId="1" fillId="0" borderId="0" xfId="2" applyNumberFormat="1" applyBorder="1" applyAlignment="1" applyProtection="1">
      <alignment vertical="top"/>
    </xf>
    <xf numFmtId="0" fontId="1" fillId="0" borderId="16" xfId="2" applyBorder="1" applyAlignment="1" applyProtection="1">
      <alignment vertical="top" wrapText="1"/>
    </xf>
    <xf numFmtId="0" fontId="1" fillId="0" borderId="0" xfId="2" applyFont="1" applyBorder="1" applyAlignment="1" applyProtection="1">
      <alignment vertical="top" wrapText="1"/>
    </xf>
    <xf numFmtId="0" fontId="33" fillId="0" borderId="0" xfId="2" applyFont="1" applyBorder="1" applyAlignment="1" applyProtection="1">
      <alignment horizontal="left" vertical="top"/>
    </xf>
    <xf numFmtId="0" fontId="33" fillId="0" borderId="0" xfId="2" applyFont="1" applyBorder="1" applyAlignment="1" applyProtection="1">
      <alignment vertical="top" wrapText="1"/>
    </xf>
    <xf numFmtId="0" fontId="2" fillId="0" borderId="0" xfId="2" applyFont="1" applyBorder="1" applyAlignment="1" applyProtection="1">
      <alignment vertical="top" wrapText="1"/>
    </xf>
    <xf numFmtId="0" fontId="63" fillId="0" borderId="0" xfId="2" applyFont="1" applyBorder="1" applyAlignment="1" applyProtection="1">
      <alignment vertical="top" wrapText="1"/>
    </xf>
    <xf numFmtId="0" fontId="14" fillId="0" borderId="0" xfId="2" applyFont="1" applyBorder="1" applyAlignment="1" applyProtection="1">
      <alignment horizontal="center" vertical="top" wrapText="1"/>
    </xf>
    <xf numFmtId="164" fontId="1" fillId="0" borderId="0" xfId="2" applyNumberFormat="1" applyBorder="1" applyAlignment="1" applyProtection="1">
      <alignment horizontal="center" vertical="top" wrapText="1"/>
    </xf>
    <xf numFmtId="0" fontId="1" fillId="0" borderId="0" xfId="2" applyBorder="1" applyAlignment="1" applyProtection="1">
      <alignment horizontal="center" vertical="top" wrapText="1"/>
    </xf>
    <xf numFmtId="0" fontId="2" fillId="0" borderId="0" xfId="2" quotePrefix="1" applyFont="1" applyBorder="1" applyAlignment="1" applyProtection="1">
      <alignment vertical="top" wrapText="1"/>
    </xf>
    <xf numFmtId="0" fontId="14" fillId="0" borderId="0" xfId="2" applyFont="1" applyBorder="1" applyAlignment="1" applyProtection="1">
      <alignment horizontal="right" vertical="top"/>
    </xf>
    <xf numFmtId="0" fontId="2" fillId="0" borderId="0" xfId="2" applyFont="1" applyBorder="1" applyAlignment="1" applyProtection="1">
      <alignment horizontal="left" vertical="top"/>
    </xf>
    <xf numFmtId="0" fontId="51" fillId="0" borderId="0" xfId="2" applyFont="1" applyBorder="1" applyAlignment="1" applyProtection="1">
      <alignment horizontal="left" vertical="center"/>
    </xf>
    <xf numFmtId="0" fontId="48" fillId="0" borderId="0" xfId="2" applyFont="1" applyAlignment="1" applyProtection="1">
      <alignment vertical="center"/>
    </xf>
    <xf numFmtId="0" fontId="14" fillId="0" borderId="0" xfId="2" applyFont="1" applyBorder="1" applyAlignment="1" applyProtection="1">
      <alignment horizontal="center" vertical="center" wrapText="1"/>
    </xf>
    <xf numFmtId="0" fontId="1" fillId="0" borderId="0" xfId="2" applyAlignment="1" applyProtection="1">
      <alignment vertical="top" wrapText="1"/>
    </xf>
    <xf numFmtId="0" fontId="55" fillId="0" borderId="0" xfId="2" applyFont="1" applyBorder="1" applyAlignment="1" applyProtection="1">
      <alignment vertical="top" wrapText="1"/>
    </xf>
    <xf numFmtId="0" fontId="67" fillId="0" borderId="0" xfId="2" applyFont="1"/>
    <xf numFmtId="0" fontId="14" fillId="0" borderId="0" xfId="2" applyFont="1" applyAlignment="1"/>
    <xf numFmtId="0" fontId="2" fillId="0" borderId="0" xfId="2" quotePrefix="1" applyFont="1" applyBorder="1" applyAlignment="1" applyProtection="1"/>
    <xf numFmtId="0" fontId="14" fillId="0" borderId="0" xfId="0" applyFont="1" applyBorder="1" applyAlignment="1" applyProtection="1">
      <alignment horizontal="left" vertical="top" wrapText="1"/>
    </xf>
    <xf numFmtId="0" fontId="0" fillId="2" borderId="0" xfId="0" applyFill="1" applyAlignment="1" applyProtection="1">
      <alignment horizontal="center" vertical="center" wrapText="1"/>
      <protection locked="0"/>
    </xf>
    <xf numFmtId="0" fontId="0" fillId="0" borderId="0" xfId="0" applyAlignment="1" applyProtection="1">
      <alignment vertical="top" wrapText="1"/>
      <protection locked="0"/>
    </xf>
    <xf numFmtId="0" fontId="2" fillId="0" borderId="0" xfId="0" quotePrefix="1" applyFont="1" applyAlignment="1">
      <alignment horizontal="left" vertical="top"/>
    </xf>
    <xf numFmtId="0" fontId="2" fillId="0" borderId="0" xfId="0" applyFont="1" applyAlignment="1">
      <alignment horizontal="left" vertical="top"/>
    </xf>
    <xf numFmtId="0" fontId="46" fillId="0" borderId="0" xfId="2" applyFont="1" applyBorder="1" applyAlignment="1" applyProtection="1">
      <alignment horizontal="left" vertical="center"/>
    </xf>
    <xf numFmtId="0" fontId="4" fillId="6" borderId="0" xfId="2" applyFont="1" applyFill="1" applyAlignment="1" applyProtection="1">
      <alignment vertical="top"/>
    </xf>
    <xf numFmtId="0" fontId="63" fillId="0" borderId="0" xfId="2" applyFont="1" applyBorder="1" applyAlignment="1" applyProtection="1">
      <alignment horizontal="left" vertical="center"/>
    </xf>
    <xf numFmtId="0" fontId="63" fillId="0" borderId="0" xfId="2" applyFont="1" applyFill="1" applyProtection="1"/>
    <xf numFmtId="0" fontId="1" fillId="6" borderId="0" xfId="2" applyFill="1" applyBorder="1" applyProtection="1"/>
    <xf numFmtId="0" fontId="1" fillId="6" borderId="0" xfId="2" applyFill="1" applyBorder="1" applyAlignment="1" applyProtection="1">
      <alignment horizontal="left" vertical="top" wrapText="1"/>
    </xf>
    <xf numFmtId="0" fontId="14" fillId="0" borderId="0" xfId="0" applyFont="1" applyAlignment="1">
      <alignment horizontal="left" vertical="top"/>
    </xf>
    <xf numFmtId="0" fontId="14" fillId="0" borderId="0" xfId="0" applyFont="1" applyAlignment="1">
      <alignment horizontal="left" vertical="top" wrapText="1"/>
    </xf>
    <xf numFmtId="0" fontId="14" fillId="0" borderId="0" xfId="0" applyFont="1" applyAlignment="1">
      <alignment horizontal="left" vertical="top"/>
    </xf>
    <xf numFmtId="0" fontId="14" fillId="0" borderId="0" xfId="0" applyFont="1" applyAlignment="1">
      <alignment horizontal="center" vertical="center"/>
    </xf>
    <xf numFmtId="0" fontId="14" fillId="0" borderId="0" xfId="0" applyFont="1" applyAlignment="1"/>
    <xf numFmtId="0" fontId="33" fillId="0" borderId="0" xfId="0" applyFont="1"/>
    <xf numFmtId="0" fontId="33" fillId="2" borderId="17" xfId="0" applyFont="1" applyFill="1" applyBorder="1" applyAlignment="1">
      <alignment horizontal="left"/>
    </xf>
    <xf numFmtId="0" fontId="14" fillId="0" borderId="0" xfId="0" applyFont="1" applyFill="1"/>
    <xf numFmtId="0" fontId="33" fillId="6" borderId="0" xfId="0" applyFont="1" applyFill="1" applyBorder="1" applyAlignment="1">
      <alignment horizontal="left"/>
    </xf>
    <xf numFmtId="0" fontId="14" fillId="6" borderId="0" xfId="0" applyFont="1" applyFill="1"/>
    <xf numFmtId="0" fontId="14" fillId="0" borderId="0" xfId="0" applyFont="1" applyAlignment="1">
      <alignment horizontal="left"/>
    </xf>
    <xf numFmtId="0" fontId="14" fillId="0" borderId="0" xfId="0" applyFont="1" applyBorder="1" applyAlignment="1">
      <alignment horizontal="left"/>
    </xf>
    <xf numFmtId="0" fontId="14" fillId="0" borderId="0" xfId="0" applyFont="1" applyFill="1" applyBorder="1" applyAlignment="1">
      <alignment horizontal="left"/>
    </xf>
    <xf numFmtId="0" fontId="14" fillId="0" borderId="0" xfId="0" applyFont="1" applyBorder="1"/>
    <xf numFmtId="0" fontId="14" fillId="0" borderId="0" xfId="0" applyFont="1" applyBorder="1" applyAlignment="1">
      <alignment horizontal="center"/>
    </xf>
    <xf numFmtId="2" fontId="14" fillId="0" borderId="0" xfId="0" applyNumberFormat="1" applyFont="1"/>
    <xf numFmtId="0" fontId="14" fillId="0" borderId="0" xfId="0" applyNumberFormat="1" applyFont="1" applyAlignment="1"/>
    <xf numFmtId="0" fontId="14" fillId="0" borderId="0" xfId="0" applyFont="1" applyFill="1" applyAlignment="1" applyProtection="1">
      <alignment vertical="top" wrapText="1"/>
    </xf>
    <xf numFmtId="0" fontId="14" fillId="0" borderId="0" xfId="0" applyFont="1" applyBorder="1" applyAlignment="1">
      <alignment horizontal="right"/>
    </xf>
    <xf numFmtId="0" fontId="14" fillId="0" borderId="0" xfId="0" applyNumberFormat="1" applyFont="1" applyAlignment="1">
      <alignment wrapText="1"/>
    </xf>
    <xf numFmtId="0" fontId="14" fillId="0" borderId="0" xfId="0" applyFont="1" applyAlignment="1">
      <alignment wrapText="1"/>
    </xf>
    <xf numFmtId="0" fontId="1" fillId="6" borderId="0" xfId="0" applyFont="1" applyFill="1"/>
    <xf numFmtId="164" fontId="0" fillId="2" borderId="0" xfId="0" applyNumberFormat="1" applyFill="1" applyAlignment="1" applyProtection="1">
      <alignment horizontal="center" vertical="center"/>
      <protection locked="0"/>
    </xf>
    <xf numFmtId="164" fontId="0" fillId="2" borderId="0" xfId="0" applyNumberFormat="1" applyFill="1" applyAlignment="1" applyProtection="1">
      <alignment horizontal="center" vertical="center" wrapText="1"/>
      <protection locked="0"/>
    </xf>
    <xf numFmtId="0" fontId="2" fillId="0" borderId="0" xfId="0" applyFont="1" applyAlignment="1" applyProtection="1">
      <alignment horizontal="left"/>
    </xf>
    <xf numFmtId="0" fontId="1" fillId="0" borderId="0" xfId="0" applyFont="1" applyAlignment="1" applyProtection="1">
      <alignment horizontal="right"/>
    </xf>
    <xf numFmtId="0" fontId="1" fillId="0" borderId="0" xfId="0" applyFont="1" applyBorder="1" applyProtection="1"/>
    <xf numFmtId="0" fontId="1" fillId="0" borderId="0" xfId="0" applyFont="1" applyAlignment="1" applyProtection="1">
      <alignment horizontal="left"/>
    </xf>
    <xf numFmtId="0" fontId="1" fillId="0" borderId="0" xfId="0" applyFont="1" applyAlignment="1" applyProtection="1"/>
    <xf numFmtId="0" fontId="1" fillId="0" borderId="0" xfId="0" applyFont="1" applyBorder="1" applyAlignment="1" applyProtection="1">
      <alignment horizontal="center"/>
    </xf>
    <xf numFmtId="0" fontId="61" fillId="0" borderId="0" xfId="0" applyFont="1"/>
    <xf numFmtId="0" fontId="18" fillId="0" borderId="0" xfId="0" applyFont="1" applyProtection="1"/>
    <xf numFmtId="0" fontId="1" fillId="0" borderId="0" xfId="0" applyFont="1" applyBorder="1" applyAlignment="1" applyProtection="1">
      <alignment vertical="center"/>
    </xf>
    <xf numFmtId="0" fontId="14" fillId="0" borderId="0" xfId="0" applyFont="1" applyBorder="1" applyAlignment="1" applyProtection="1">
      <alignment horizontal="left" vertical="top" wrapText="1"/>
      <protection locked="0"/>
    </xf>
    <xf numFmtId="0" fontId="68" fillId="3" borderId="19" xfId="0" applyFont="1" applyFill="1" applyBorder="1" applyAlignment="1">
      <alignment horizontal="center"/>
    </xf>
    <xf numFmtId="0" fontId="1" fillId="0" borderId="0" xfId="0" applyFont="1" applyAlignment="1">
      <alignment horizontal="left"/>
    </xf>
    <xf numFmtId="0" fontId="1" fillId="0" borderId="0" xfId="0" applyFont="1" applyAlignment="1">
      <alignment horizontal="center"/>
    </xf>
    <xf numFmtId="2" fontId="1" fillId="0" borderId="0" xfId="0" applyNumberFormat="1" applyFont="1"/>
    <xf numFmtId="0" fontId="7" fillId="0" borderId="0" xfId="0" applyFont="1" applyAlignment="1">
      <alignment horizontal="center"/>
    </xf>
    <xf numFmtId="0" fontId="1" fillId="0" borderId="0" xfId="0" applyFont="1" applyAlignment="1"/>
    <xf numFmtId="0" fontId="5" fillId="0" borderId="0" xfId="0" applyFont="1" applyBorder="1" applyAlignment="1">
      <alignment vertical="center" wrapText="1"/>
    </xf>
    <xf numFmtId="0" fontId="5" fillId="0" borderId="0" xfId="0" applyFont="1"/>
    <xf numFmtId="0" fontId="2" fillId="0" borderId="0" xfId="0" applyFont="1" applyAlignment="1">
      <alignment horizontal="center"/>
    </xf>
    <xf numFmtId="0" fontId="5" fillId="0" borderId="10" xfId="0" applyFont="1" applyBorder="1"/>
    <xf numFmtId="0" fontId="1" fillId="0" borderId="1" xfId="0" applyFont="1" applyBorder="1"/>
    <xf numFmtId="0" fontId="1" fillId="0" borderId="1" xfId="0" applyFont="1" applyBorder="1" applyAlignment="1">
      <alignment horizontal="center"/>
    </xf>
    <xf numFmtId="0" fontId="1" fillId="0" borderId="1" xfId="0" applyFont="1" applyBorder="1" applyAlignment="1"/>
    <xf numFmtId="0" fontId="1" fillId="0" borderId="1" xfId="0" applyFont="1" applyFill="1" applyBorder="1" applyAlignment="1">
      <alignment horizontal="center"/>
    </xf>
    <xf numFmtId="0" fontId="1" fillId="0" borderId="1" xfId="0" applyFont="1" applyBorder="1" applyProtection="1"/>
    <xf numFmtId="0" fontId="1" fillId="7" borderId="1" xfId="0" applyFont="1" applyFill="1" applyBorder="1" applyProtection="1">
      <protection locked="0"/>
    </xf>
    <xf numFmtId="2" fontId="1" fillId="0" borderId="1" xfId="0" applyNumberFormat="1" applyFont="1" applyBorder="1" applyAlignment="1" applyProtection="1">
      <alignment horizontal="center"/>
    </xf>
    <xf numFmtId="2" fontId="1" fillId="0" borderId="1" xfId="0" applyNumberFormat="1" applyFont="1" applyBorder="1" applyAlignment="1" applyProtection="1">
      <alignment horizontal="center"/>
      <protection locked="0"/>
    </xf>
    <xf numFmtId="0" fontId="1" fillId="0" borderId="6" xfId="0" applyFont="1" applyBorder="1"/>
    <xf numFmtId="0" fontId="1" fillId="5" borderId="0" xfId="0" applyFont="1" applyFill="1" applyBorder="1" applyAlignment="1">
      <alignment horizontal="right"/>
    </xf>
    <xf numFmtId="0" fontId="1" fillId="5" borderId="0" xfId="0" applyFont="1" applyFill="1" applyProtection="1"/>
    <xf numFmtId="0" fontId="1" fillId="0" borderId="0" xfId="0" applyFont="1" applyAlignment="1" applyProtection="1">
      <alignment horizontal="center"/>
    </xf>
    <xf numFmtId="0" fontId="1" fillId="0" borderId="2" xfId="0" applyFont="1" applyBorder="1" applyAlignment="1">
      <alignment horizontal="center"/>
    </xf>
    <xf numFmtId="0" fontId="1" fillId="0" borderId="0" xfId="0" applyFont="1" applyBorder="1"/>
    <xf numFmtId="0" fontId="1" fillId="0" borderId="0" xfId="0" applyFont="1" applyBorder="1" applyAlignment="1">
      <alignment horizontal="center"/>
    </xf>
    <xf numFmtId="0" fontId="1" fillId="0" borderId="0" xfId="0" applyFont="1" applyFill="1" applyBorder="1" applyAlignment="1">
      <alignment horizontal="center"/>
    </xf>
    <xf numFmtId="0" fontId="1" fillId="7" borderId="0" xfId="0" applyFont="1" applyFill="1" applyProtection="1">
      <protection locked="0"/>
    </xf>
    <xf numFmtId="2" fontId="1" fillId="0" borderId="0" xfId="0" applyNumberFormat="1" applyFont="1" applyBorder="1" applyAlignment="1" applyProtection="1">
      <alignment horizontal="center"/>
    </xf>
    <xf numFmtId="2" fontId="1" fillId="0" borderId="0" xfId="0" applyNumberFormat="1" applyFont="1" applyBorder="1" applyAlignment="1" applyProtection="1">
      <alignment horizontal="center"/>
      <protection locked="0"/>
    </xf>
    <xf numFmtId="0" fontId="1" fillId="0" borderId="7" xfId="0" applyFont="1" applyBorder="1"/>
    <xf numFmtId="10" fontId="1" fillId="0" borderId="2" xfId="0" applyNumberFormat="1" applyFont="1" applyBorder="1" applyAlignment="1">
      <alignment horizontal="center"/>
    </xf>
    <xf numFmtId="0" fontId="5" fillId="0" borderId="2" xfId="0" applyFont="1" applyBorder="1" applyAlignment="1">
      <alignment horizontal="center"/>
    </xf>
    <xf numFmtId="0" fontId="1" fillId="0" borderId="2" xfId="0" applyFont="1" applyBorder="1"/>
    <xf numFmtId="0" fontId="1" fillId="0" borderId="3" xfId="0" applyFont="1" applyBorder="1"/>
    <xf numFmtId="0" fontId="1" fillId="0" borderId="4" xfId="0" applyFont="1" applyBorder="1"/>
    <xf numFmtId="0" fontId="1" fillId="0" borderId="4" xfId="0" applyFont="1" applyBorder="1" applyAlignment="1">
      <alignment horizontal="center"/>
    </xf>
    <xf numFmtId="0" fontId="1" fillId="0" borderId="4" xfId="0" applyFont="1" applyFill="1" applyBorder="1" applyAlignment="1">
      <alignment horizontal="center"/>
    </xf>
    <xf numFmtId="0" fontId="1" fillId="0" borderId="4" xfId="0" applyFont="1" applyBorder="1" applyProtection="1"/>
    <xf numFmtId="2" fontId="1" fillId="0" borderId="4" xfId="0" applyNumberFormat="1" applyFont="1" applyBorder="1" applyAlignment="1" applyProtection="1">
      <alignment horizontal="center"/>
    </xf>
    <xf numFmtId="2" fontId="1" fillId="0" borderId="4" xfId="0" applyNumberFormat="1" applyFont="1" applyBorder="1" applyAlignment="1" applyProtection="1">
      <alignment horizontal="center"/>
      <protection locked="0"/>
    </xf>
    <xf numFmtId="0" fontId="1" fillId="0" borderId="8" xfId="0" applyFont="1" applyBorder="1"/>
    <xf numFmtId="0" fontId="2" fillId="0" borderId="0" xfId="0" applyFont="1" applyAlignment="1" applyProtection="1">
      <alignment horizontal="center"/>
    </xf>
    <xf numFmtId="0" fontId="7" fillId="0" borderId="1" xfId="0" applyFont="1" applyBorder="1" applyAlignment="1">
      <alignment horizontal="center"/>
    </xf>
    <xf numFmtId="0" fontId="7" fillId="0" borderId="0" xfId="0" applyFont="1" applyBorder="1" applyAlignment="1">
      <alignment horizontal="center"/>
    </xf>
    <xf numFmtId="0" fontId="7" fillId="0" borderId="0" xfId="0" applyFont="1"/>
    <xf numFmtId="0" fontId="1" fillId="0" borderId="4" xfId="0" applyFont="1" applyBorder="1" applyProtection="1">
      <protection locked="0"/>
    </xf>
    <xf numFmtId="0" fontId="7" fillId="0" borderId="4" xfId="0" applyFont="1" applyBorder="1" applyAlignment="1">
      <alignment horizontal="center"/>
    </xf>
    <xf numFmtId="2" fontId="1" fillId="8" borderId="0" xfId="0" applyNumberFormat="1" applyFont="1" applyFill="1" applyBorder="1" applyProtection="1">
      <protection locked="0"/>
    </xf>
    <xf numFmtId="0" fontId="5" fillId="0" borderId="3" xfId="0" applyFont="1" applyBorder="1" applyAlignment="1">
      <alignment horizontal="center"/>
    </xf>
    <xf numFmtId="2" fontId="1" fillId="8" borderId="1" xfId="0" applyNumberFormat="1" applyFont="1" applyFill="1" applyBorder="1"/>
    <xf numFmtId="2" fontId="1" fillId="8" borderId="0" xfId="0" applyNumberFormat="1" applyFont="1" applyFill="1" applyBorder="1"/>
    <xf numFmtId="0" fontId="5" fillId="0" borderId="0" xfId="0" applyFont="1" applyBorder="1" applyAlignment="1">
      <alignment horizontal="center"/>
    </xf>
    <xf numFmtId="0" fontId="1" fillId="0" borderId="0" xfId="0" applyFont="1" applyBorder="1" applyAlignment="1">
      <alignment horizontal="center" vertical="center"/>
    </xf>
    <xf numFmtId="0" fontId="5" fillId="0" borderId="10" xfId="0" applyFont="1" applyBorder="1" applyAlignment="1">
      <alignment horizontal="left"/>
    </xf>
    <xf numFmtId="0" fontId="1" fillId="8" borderId="1" xfId="0" applyFont="1" applyFill="1" applyBorder="1"/>
    <xf numFmtId="0" fontId="1" fillId="8" borderId="0" xfId="0" applyFont="1" applyFill="1" applyBorder="1"/>
    <xf numFmtId="0" fontId="1" fillId="0" borderId="0" xfId="0" applyFont="1" applyFill="1" applyBorder="1"/>
    <xf numFmtId="0" fontId="1" fillId="8" borderId="0" xfId="0" applyFont="1" applyFill="1"/>
    <xf numFmtId="0" fontId="1" fillId="0" borderId="4" xfId="0" applyFont="1" applyFill="1" applyBorder="1"/>
    <xf numFmtId="0" fontId="5" fillId="0" borderId="9" xfId="0" applyFont="1" applyBorder="1" applyAlignment="1">
      <alignment horizontal="center"/>
    </xf>
    <xf numFmtId="0" fontId="1" fillId="0" borderId="5" xfId="0" applyFont="1" applyBorder="1" applyAlignment="1">
      <alignment horizontal="center"/>
    </xf>
    <xf numFmtId="10" fontId="1" fillId="0" borderId="5" xfId="0" applyNumberFormat="1" applyFont="1" applyBorder="1" applyAlignment="1">
      <alignment horizontal="center"/>
    </xf>
    <xf numFmtId="0" fontId="5" fillId="0" borderId="5" xfId="0" applyFont="1" applyBorder="1" applyAlignment="1">
      <alignment horizontal="center"/>
    </xf>
    <xf numFmtId="0" fontId="5" fillId="0" borderId="11" xfId="0" applyFont="1" applyBorder="1" applyAlignment="1">
      <alignment horizontal="center"/>
    </xf>
    <xf numFmtId="2" fontId="1" fillId="0" borderId="0" xfId="0" applyNumberFormat="1" applyFont="1" applyProtection="1"/>
    <xf numFmtId="0" fontId="7" fillId="0" borderId="0" xfId="0" applyFont="1" applyAlignment="1" applyProtection="1">
      <alignment horizontal="center"/>
    </xf>
    <xf numFmtId="0" fontId="38" fillId="0" borderId="0" xfId="0" applyFont="1" applyAlignment="1" applyProtection="1">
      <alignment horizontal="center"/>
    </xf>
    <xf numFmtId="0" fontId="12" fillId="0" borderId="0" xfId="0" applyFont="1" applyAlignment="1" applyProtection="1">
      <alignment horizontal="center"/>
    </xf>
    <xf numFmtId="0" fontId="5" fillId="0" borderId="10" xfId="0" applyFont="1" applyBorder="1" applyProtection="1"/>
    <xf numFmtId="0" fontId="1" fillId="0" borderId="1" xfId="0" applyFont="1" applyBorder="1" applyAlignment="1" applyProtection="1">
      <alignment horizontal="center"/>
    </xf>
    <xf numFmtId="0" fontId="1" fillId="0" borderId="1" xfId="0" applyFont="1" applyBorder="1" applyAlignment="1" applyProtection="1"/>
    <xf numFmtId="0" fontId="1" fillId="0" borderId="1" xfId="0" applyFont="1" applyFill="1" applyBorder="1" applyAlignment="1" applyProtection="1">
      <alignment horizontal="center"/>
      <protection locked="0"/>
    </xf>
    <xf numFmtId="0" fontId="1" fillId="2" borderId="1" xfId="0" applyFont="1" applyFill="1" applyBorder="1" applyProtection="1"/>
    <xf numFmtId="2" fontId="1" fillId="2" borderId="1" xfId="0" applyNumberFormat="1" applyFont="1" applyFill="1" applyBorder="1" applyAlignment="1" applyProtection="1">
      <alignment horizontal="center"/>
    </xf>
    <xf numFmtId="0" fontId="1" fillId="0" borderId="6" xfId="0" applyFont="1" applyBorder="1" applyProtection="1"/>
    <xf numFmtId="0" fontId="1" fillId="0" borderId="0" xfId="0" applyFont="1" applyFill="1" applyBorder="1" applyProtection="1"/>
    <xf numFmtId="0" fontId="12" fillId="0" borderId="0" xfId="0" applyFont="1" applyFill="1" applyAlignment="1" applyProtection="1">
      <alignment horizontal="center"/>
    </xf>
    <xf numFmtId="0" fontId="1" fillId="0" borderId="0" xfId="0" applyFont="1" applyFill="1" applyProtection="1"/>
    <xf numFmtId="0" fontId="1" fillId="0" borderId="0" xfId="0" applyFont="1" applyFill="1" applyProtection="1">
      <protection locked="0"/>
    </xf>
    <xf numFmtId="0" fontId="1" fillId="0" borderId="0" xfId="0" applyFont="1" applyFill="1" applyAlignment="1" applyProtection="1">
      <alignment horizontal="center"/>
      <protection locked="0"/>
    </xf>
    <xf numFmtId="2" fontId="1" fillId="0" borderId="0" xfId="0" applyNumberFormat="1" applyFont="1" applyFill="1" applyBorder="1" applyAlignment="1" applyProtection="1">
      <alignment horizontal="center"/>
    </xf>
    <xf numFmtId="0" fontId="1" fillId="0" borderId="2" xfId="0" applyFont="1" applyBorder="1" applyAlignment="1" applyProtection="1">
      <alignment horizontal="center"/>
    </xf>
    <xf numFmtId="0" fontId="1" fillId="0" borderId="0" xfId="0" applyFont="1" applyFill="1" applyBorder="1" applyAlignment="1" applyProtection="1">
      <alignment horizontal="center"/>
      <protection locked="0"/>
    </xf>
    <xf numFmtId="0" fontId="1" fillId="2" borderId="0" xfId="0" applyFont="1" applyFill="1" applyBorder="1" applyProtection="1"/>
    <xf numFmtId="2" fontId="1" fillId="2" borderId="0" xfId="0" applyNumberFormat="1" applyFont="1" applyFill="1" applyBorder="1" applyAlignment="1" applyProtection="1">
      <alignment horizontal="center"/>
    </xf>
    <xf numFmtId="0" fontId="1" fillId="0" borderId="7" xfId="0" applyFont="1" applyBorder="1" applyProtection="1"/>
    <xf numFmtId="0" fontId="1" fillId="0" borderId="0" xfId="0" applyFont="1" applyFill="1" applyAlignment="1" applyProtection="1">
      <alignment horizontal="center"/>
    </xf>
    <xf numFmtId="1" fontId="1" fillId="0" borderId="0" xfId="0" applyNumberFormat="1" applyFont="1" applyProtection="1"/>
    <xf numFmtId="10" fontId="1" fillId="0" borderId="2" xfId="0" applyNumberFormat="1" applyFont="1" applyBorder="1" applyAlignment="1" applyProtection="1">
      <alignment horizontal="center"/>
    </xf>
    <xf numFmtId="2" fontId="1" fillId="0" borderId="0" xfId="0" applyNumberFormat="1" applyFont="1" applyFill="1" applyProtection="1"/>
    <xf numFmtId="0" fontId="5" fillId="0" borderId="2" xfId="0" applyFont="1" applyBorder="1" applyAlignment="1" applyProtection="1">
      <alignment horizontal="center"/>
    </xf>
    <xf numFmtId="2" fontId="1" fillId="0" borderId="0" xfId="0" applyNumberFormat="1" applyFont="1" applyFill="1" applyProtection="1">
      <protection locked="0"/>
    </xf>
    <xf numFmtId="0" fontId="1" fillId="0" borderId="4" xfId="0" applyFont="1" applyBorder="1" applyAlignment="1" applyProtection="1">
      <alignment horizontal="center"/>
    </xf>
    <xf numFmtId="0" fontId="1" fillId="0" borderId="4" xfId="0" applyFont="1" applyFill="1" applyBorder="1" applyAlignment="1" applyProtection="1">
      <alignment horizontal="center"/>
      <protection locked="0"/>
    </xf>
    <xf numFmtId="2" fontId="1" fillId="2" borderId="4" xfId="0" applyNumberFormat="1" applyFont="1" applyFill="1" applyBorder="1" applyProtection="1"/>
    <xf numFmtId="2" fontId="1" fillId="2" borderId="4" xfId="0" applyNumberFormat="1" applyFont="1" applyFill="1" applyBorder="1" applyAlignment="1" applyProtection="1">
      <alignment horizontal="center"/>
    </xf>
    <xf numFmtId="0" fontId="1" fillId="0" borderId="8" xfId="0" applyFont="1" applyBorder="1" applyProtection="1"/>
    <xf numFmtId="0" fontId="1" fillId="0" borderId="18" xfId="0" applyFont="1" applyFill="1" applyBorder="1" applyProtection="1"/>
    <xf numFmtId="0" fontId="7" fillId="0" borderId="18" xfId="0" applyFont="1" applyFill="1" applyBorder="1" applyProtection="1"/>
    <xf numFmtId="0" fontId="1" fillId="0" borderId="18" xfId="0" applyFont="1" applyFill="1" applyBorder="1" applyProtection="1">
      <protection locked="0"/>
    </xf>
    <xf numFmtId="0" fontId="1" fillId="0" borderId="18" xfId="0" applyFont="1" applyFill="1" applyBorder="1" applyAlignment="1" applyProtection="1">
      <alignment horizontal="center"/>
      <protection locked="0"/>
    </xf>
    <xf numFmtId="2" fontId="1" fillId="0" borderId="18" xfId="0" applyNumberFormat="1" applyFont="1" applyFill="1" applyBorder="1" applyAlignment="1" applyProtection="1">
      <alignment horizontal="center"/>
    </xf>
    <xf numFmtId="0" fontId="7" fillId="0" borderId="1" xfId="0" applyFont="1" applyBorder="1" applyAlignment="1" applyProtection="1">
      <alignment horizontal="center"/>
    </xf>
    <xf numFmtId="2" fontId="1" fillId="2" borderId="1" xfId="0" applyNumberFormat="1" applyFont="1" applyFill="1" applyBorder="1" applyProtection="1"/>
    <xf numFmtId="0" fontId="7" fillId="0" borderId="0" xfId="0" applyFont="1" applyBorder="1" applyAlignment="1" applyProtection="1">
      <alignment horizontal="center"/>
    </xf>
    <xf numFmtId="2" fontId="1" fillId="2" borderId="0" xfId="0" applyNumberFormat="1" applyFont="1" applyFill="1" applyBorder="1" applyProtection="1"/>
    <xf numFmtId="0" fontId="1" fillId="0" borderId="3" xfId="0" applyFont="1" applyBorder="1" applyProtection="1"/>
    <xf numFmtId="0" fontId="7" fillId="0" borderId="4" xfId="0" applyFont="1" applyBorder="1" applyAlignment="1" applyProtection="1">
      <alignment horizontal="center"/>
    </xf>
    <xf numFmtId="0" fontId="5" fillId="0" borderId="10" xfId="0" applyFont="1" applyBorder="1" applyAlignment="1" applyProtection="1">
      <alignment horizontal="center"/>
    </xf>
    <xf numFmtId="0" fontId="5" fillId="0" borderId="3" xfId="0" applyFont="1" applyBorder="1" applyAlignment="1" applyProtection="1">
      <alignment horizontal="center"/>
    </xf>
    <xf numFmtId="0" fontId="1" fillId="0" borderId="4" xfId="0" applyFont="1" applyFill="1" applyBorder="1" applyProtection="1"/>
    <xf numFmtId="0" fontId="1" fillId="2" borderId="4" xfId="0" applyFont="1" applyFill="1" applyBorder="1" applyProtection="1"/>
    <xf numFmtId="0" fontId="5" fillId="0" borderId="0" xfId="0" applyFont="1" applyBorder="1" applyAlignment="1" applyProtection="1">
      <alignment horizontal="center"/>
    </xf>
    <xf numFmtId="0" fontId="1" fillId="0" borderId="0" xfId="0" applyFont="1" applyBorder="1" applyAlignment="1" applyProtection="1">
      <alignment horizontal="center" vertical="center"/>
    </xf>
    <xf numFmtId="0" fontId="1" fillId="0" borderId="14" xfId="0" applyFont="1" applyFill="1" applyBorder="1" applyProtection="1"/>
    <xf numFmtId="0" fontId="1" fillId="2" borderId="0" xfId="0" applyFont="1" applyFill="1" applyProtection="1"/>
    <xf numFmtId="0" fontId="1" fillId="0" borderId="0" xfId="0" applyFont="1" applyFill="1" applyBorder="1" applyAlignment="1" applyProtection="1">
      <alignment horizontal="center" vertical="top"/>
      <protection locked="0"/>
    </xf>
    <xf numFmtId="2" fontId="1" fillId="0" borderId="0" xfId="0" applyNumberFormat="1" applyFont="1" applyFill="1" applyBorder="1" applyProtection="1"/>
    <xf numFmtId="0" fontId="1" fillId="0" borderId="0" xfId="0" applyFont="1" applyFill="1" applyBorder="1" applyAlignment="1" applyProtection="1">
      <alignment horizontal="center"/>
    </xf>
    <xf numFmtId="0" fontId="5" fillId="0" borderId="9" xfId="0" applyFont="1" applyBorder="1" applyAlignment="1" applyProtection="1">
      <alignment horizontal="center"/>
    </xf>
    <xf numFmtId="0" fontId="1" fillId="0" borderId="5" xfId="0" applyFont="1" applyBorder="1" applyAlignment="1" applyProtection="1">
      <alignment horizontal="center"/>
    </xf>
    <xf numFmtId="10" fontId="1" fillId="0" borderId="5" xfId="0" applyNumberFormat="1" applyFont="1" applyBorder="1" applyAlignment="1" applyProtection="1">
      <alignment horizontal="center"/>
    </xf>
    <xf numFmtId="2" fontId="12" fillId="0" borderId="25" xfId="0" applyNumberFormat="1" applyFont="1" applyFill="1" applyBorder="1" applyAlignment="1" applyProtection="1">
      <alignment horizontal="center"/>
    </xf>
    <xf numFmtId="2" fontId="12" fillId="0" borderId="18" xfId="0" applyNumberFormat="1" applyFont="1" applyFill="1" applyBorder="1" applyAlignment="1" applyProtection="1">
      <alignment horizontal="center"/>
    </xf>
    <xf numFmtId="0" fontId="12" fillId="0" borderId="18" xfId="0" applyFont="1" applyFill="1" applyBorder="1" applyAlignment="1" applyProtection="1">
      <alignment horizontal="center"/>
    </xf>
    <xf numFmtId="0" fontId="12" fillId="0" borderId="26" xfId="0" applyFont="1" applyFill="1" applyBorder="1" applyAlignment="1" applyProtection="1">
      <alignment horizontal="center"/>
    </xf>
    <xf numFmtId="165" fontId="1" fillId="0" borderId="0" xfId="0" applyNumberFormat="1" applyFont="1" applyFill="1" applyAlignment="1" applyProtection="1">
      <alignment horizontal="center"/>
    </xf>
    <xf numFmtId="0" fontId="5" fillId="0" borderId="11" xfId="0" applyFont="1" applyBorder="1" applyAlignment="1" applyProtection="1">
      <alignment horizontal="center"/>
    </xf>
    <xf numFmtId="1" fontId="1" fillId="0" borderId="16" xfId="0" applyNumberFormat="1" applyFont="1" applyFill="1" applyBorder="1" applyProtection="1">
      <protection locked="0"/>
    </xf>
    <xf numFmtId="1" fontId="1" fillId="0" borderId="0" xfId="0" applyNumberFormat="1" applyFont="1" applyFill="1" applyBorder="1" applyAlignment="1" applyProtection="1">
      <alignment horizontal="center"/>
      <protection locked="0"/>
    </xf>
    <xf numFmtId="1" fontId="1" fillId="0" borderId="0" xfId="0" applyNumberFormat="1" applyFont="1" applyFill="1" applyBorder="1" applyProtection="1">
      <protection locked="0"/>
    </xf>
    <xf numFmtId="1" fontId="1" fillId="0" borderId="13" xfId="0" applyNumberFormat="1" applyFont="1" applyFill="1" applyBorder="1" applyProtection="1">
      <protection locked="0"/>
    </xf>
    <xf numFmtId="0" fontId="12" fillId="0" borderId="16" xfId="0" applyFont="1" applyFill="1" applyBorder="1" applyAlignment="1" applyProtection="1">
      <alignment horizontal="center"/>
    </xf>
    <xf numFmtId="0" fontId="12" fillId="0" borderId="0" xfId="0" applyFont="1" applyFill="1" applyBorder="1" applyAlignment="1" applyProtection="1">
      <alignment horizontal="center"/>
    </xf>
    <xf numFmtId="0" fontId="12" fillId="0" borderId="13" xfId="0" applyFont="1" applyFill="1" applyBorder="1" applyAlignment="1" applyProtection="1">
      <alignment horizontal="center"/>
    </xf>
    <xf numFmtId="2" fontId="1" fillId="0" borderId="0" xfId="0" applyNumberFormat="1" applyFont="1" applyFill="1" applyAlignment="1" applyProtection="1">
      <alignment horizontal="center"/>
    </xf>
    <xf numFmtId="0" fontId="12" fillId="0" borderId="16" xfId="0" applyFont="1" applyBorder="1" applyAlignment="1" applyProtection="1">
      <alignment horizontal="center"/>
    </xf>
    <xf numFmtId="0" fontId="12" fillId="0" borderId="0" xfId="0" applyFont="1" applyBorder="1" applyAlignment="1" applyProtection="1">
      <alignment horizontal="center"/>
    </xf>
    <xf numFmtId="0" fontId="12" fillId="0" borderId="13" xfId="0" applyFont="1" applyBorder="1" applyAlignment="1" applyProtection="1">
      <alignment horizontal="center"/>
    </xf>
    <xf numFmtId="1" fontId="1" fillId="0" borderId="27" xfId="0" applyNumberFormat="1" applyFont="1" applyBorder="1" applyProtection="1">
      <protection locked="0"/>
    </xf>
    <xf numFmtId="1" fontId="1" fillId="0" borderId="14" xfId="0" applyNumberFormat="1" applyFont="1" applyBorder="1" applyProtection="1">
      <protection locked="0"/>
    </xf>
    <xf numFmtId="1" fontId="1" fillId="0" borderId="28" xfId="0" applyNumberFormat="1" applyFont="1" applyBorder="1" applyProtection="1">
      <protection locked="0"/>
    </xf>
    <xf numFmtId="0" fontId="1" fillId="0" borderId="0" xfId="0" applyFont="1" applyAlignment="1">
      <alignment horizontal="right"/>
    </xf>
    <xf numFmtId="1" fontId="1" fillId="0" borderId="0" xfId="0" applyNumberFormat="1" applyFont="1" applyAlignment="1">
      <alignment horizontal="center"/>
    </xf>
    <xf numFmtId="0" fontId="12" fillId="0" borderId="0" xfId="0" applyFont="1" applyFill="1" applyProtection="1"/>
    <xf numFmtId="0" fontId="1" fillId="0" borderId="18" xfId="0" applyFont="1" applyFill="1" applyBorder="1" applyAlignment="1" applyProtection="1">
      <alignment horizontal="center"/>
    </xf>
    <xf numFmtId="0" fontId="1" fillId="0" borderId="0" xfId="0" applyFont="1" applyProtection="1">
      <protection locked="0"/>
    </xf>
    <xf numFmtId="166" fontId="1" fillId="0" borderId="0" xfId="0" applyNumberFormat="1" applyFont="1" applyProtection="1">
      <protection locked="0"/>
    </xf>
    <xf numFmtId="0" fontId="5" fillId="0" borderId="0" xfId="0" applyFont="1" applyAlignment="1">
      <alignment horizontal="right"/>
    </xf>
    <xf numFmtId="0" fontId="1" fillId="0" borderId="0" xfId="0" applyFont="1" applyAlignment="1" applyProtection="1">
      <alignment horizontal="center"/>
      <protection locked="0"/>
    </xf>
    <xf numFmtId="0" fontId="5" fillId="0" borderId="29" xfId="0" applyFont="1" applyBorder="1" applyAlignment="1">
      <alignment horizontal="left"/>
    </xf>
    <xf numFmtId="0" fontId="1" fillId="0" borderId="30" xfId="0" applyFont="1" applyBorder="1"/>
    <xf numFmtId="0" fontId="1" fillId="0" borderId="30" xfId="0" applyFont="1" applyBorder="1" applyAlignment="1">
      <alignment horizontal="center"/>
    </xf>
    <xf numFmtId="0" fontId="1" fillId="0" borderId="31" xfId="0" applyFont="1" applyBorder="1"/>
    <xf numFmtId="1" fontId="1" fillId="0" borderId="0" xfId="0" applyNumberFormat="1" applyFont="1"/>
    <xf numFmtId="0" fontId="1" fillId="0" borderId="0" xfId="0" applyFont="1" applyFill="1" applyBorder="1" applyAlignment="1" applyProtection="1">
      <alignment horizontal="center" vertical="center"/>
    </xf>
    <xf numFmtId="0" fontId="1" fillId="6" borderId="4" xfId="0" applyFont="1" applyFill="1" applyBorder="1"/>
    <xf numFmtId="0" fontId="1" fillId="0" borderId="30" xfId="0" applyFont="1" applyFill="1" applyBorder="1" applyAlignment="1" applyProtection="1">
      <alignment horizontal="center" vertical="center"/>
    </xf>
    <xf numFmtId="0" fontId="7" fillId="0" borderId="30" xfId="0" applyFont="1" applyBorder="1" applyAlignment="1">
      <alignment horizontal="center"/>
    </xf>
    <xf numFmtId="0" fontId="1" fillId="0" borderId="30" xfId="0" applyFont="1" applyFill="1" applyBorder="1" applyAlignment="1">
      <alignment horizontal="center"/>
    </xf>
    <xf numFmtId="0" fontId="1" fillId="0" borderId="30" xfId="0" applyFont="1" applyBorder="1" applyProtection="1"/>
    <xf numFmtId="2" fontId="1" fillId="7" borderId="30" xfId="0" applyNumberFormat="1" applyFont="1" applyFill="1" applyBorder="1" applyProtection="1">
      <protection locked="0"/>
    </xf>
    <xf numFmtId="2" fontId="1" fillId="0" borderId="30" xfId="0" applyNumberFormat="1" applyFont="1" applyBorder="1" applyAlignment="1" applyProtection="1">
      <alignment horizontal="center"/>
    </xf>
    <xf numFmtId="2" fontId="1" fillId="0" borderId="30" xfId="0" applyNumberFormat="1" applyFont="1" applyBorder="1" applyAlignment="1" applyProtection="1">
      <alignment horizontal="center"/>
      <protection locked="0"/>
    </xf>
    <xf numFmtId="0" fontId="1" fillId="7" borderId="0" xfId="0" applyFont="1" applyFill="1" applyBorder="1"/>
    <xf numFmtId="0" fontId="1" fillId="7" borderId="4" xfId="0" applyFont="1" applyFill="1" applyBorder="1"/>
    <xf numFmtId="0" fontId="1" fillId="7" borderId="30" xfId="0" applyFont="1" applyFill="1" applyBorder="1"/>
    <xf numFmtId="0" fontId="1" fillId="6" borderId="0" xfId="0" applyFont="1" applyFill="1" applyBorder="1"/>
    <xf numFmtId="0" fontId="1" fillId="0" borderId="0" xfId="0" applyFont="1" applyBorder="1" applyAlignment="1">
      <alignment vertical="center"/>
    </xf>
    <xf numFmtId="0" fontId="2" fillId="0" borderId="0" xfId="0" applyFont="1" applyBorder="1" applyAlignment="1" applyProtection="1">
      <alignment horizontal="center"/>
    </xf>
    <xf numFmtId="2" fontId="1" fillId="7" borderId="0" xfId="0" applyNumberFormat="1" applyFont="1" applyFill="1" applyBorder="1" applyProtection="1">
      <protection locked="0"/>
    </xf>
    <xf numFmtId="2" fontId="1" fillId="7" borderId="1" xfId="0" applyNumberFormat="1" applyFont="1" applyFill="1" applyBorder="1"/>
    <xf numFmtId="2" fontId="1" fillId="7" borderId="0" xfId="0" applyNumberFormat="1" applyFont="1" applyFill="1" applyBorder="1"/>
    <xf numFmtId="0" fontId="1" fillId="0" borderId="0" xfId="0" applyFont="1" applyFill="1" applyAlignment="1" applyProtection="1">
      <alignment horizontal="right"/>
    </xf>
    <xf numFmtId="0" fontId="14" fillId="0" borderId="0" xfId="0" applyFont="1" applyBorder="1" applyAlignment="1" applyProtection="1">
      <alignment horizontal="left" vertical="top"/>
      <protection locked="0"/>
    </xf>
    <xf numFmtId="0" fontId="14" fillId="0" borderId="0" xfId="0" applyFont="1" applyBorder="1" applyAlignment="1" applyProtection="1">
      <alignment horizontal="center" vertical="top"/>
      <protection locked="0"/>
    </xf>
    <xf numFmtId="0" fontId="14" fillId="0" borderId="0" xfId="0" applyFont="1" applyBorder="1" applyAlignment="1" applyProtection="1">
      <alignment horizontal="left" vertical="top" wrapText="1"/>
    </xf>
    <xf numFmtId="0" fontId="14" fillId="0" borderId="0" xfId="0" applyFont="1" applyAlignment="1" applyProtection="1">
      <alignment horizontal="left" vertical="top"/>
    </xf>
    <xf numFmtId="0" fontId="14" fillId="0" borderId="0"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1" fillId="8" borderId="4" xfId="0" applyFont="1" applyFill="1" applyBorder="1"/>
    <xf numFmtId="0" fontId="14" fillId="0" borderId="0" xfId="0" applyFont="1" applyBorder="1" applyAlignment="1" applyProtection="1">
      <alignment horizontal="left" vertical="center"/>
    </xf>
    <xf numFmtId="0" fontId="1" fillId="0" borderId="0" xfId="0" applyFont="1" applyAlignment="1" applyProtection="1">
      <alignment vertical="center"/>
    </xf>
    <xf numFmtId="0" fontId="25" fillId="0" borderId="0" xfId="0" applyFont="1" applyAlignment="1" applyProtection="1">
      <alignment vertical="center"/>
    </xf>
    <xf numFmtId="0" fontId="55" fillId="0" borderId="0" xfId="0" applyFont="1" applyAlignment="1" applyProtection="1">
      <alignment horizontal="center" vertical="center"/>
    </xf>
    <xf numFmtId="0" fontId="14" fillId="0" borderId="0" xfId="0" applyFont="1" applyAlignment="1" applyProtection="1">
      <alignment horizontal="left" vertical="center"/>
    </xf>
    <xf numFmtId="0" fontId="14" fillId="0" borderId="0" xfId="0" applyFont="1" applyAlignment="1" applyProtection="1">
      <alignment vertical="center"/>
    </xf>
    <xf numFmtId="0" fontId="14" fillId="0" borderId="0" xfId="0" applyFont="1" applyBorder="1" applyAlignment="1" applyProtection="1">
      <alignment horizontal="left" vertical="center"/>
      <protection locked="0"/>
    </xf>
    <xf numFmtId="0" fontId="44" fillId="0" borderId="0" xfId="0" applyFont="1" applyAlignment="1" applyProtection="1">
      <alignment vertical="center"/>
    </xf>
    <xf numFmtId="0" fontId="14" fillId="0" borderId="0" xfId="0" applyFont="1" applyBorder="1" applyAlignment="1" applyProtection="1">
      <alignment horizontal="right" vertical="center"/>
      <protection locked="0"/>
    </xf>
    <xf numFmtId="0" fontId="14" fillId="0" borderId="0" xfId="0" applyFont="1" applyBorder="1" applyAlignment="1" applyProtection="1">
      <alignment horizontal="center" vertical="center"/>
      <protection locked="0"/>
    </xf>
    <xf numFmtId="1" fontId="59" fillId="0" borderId="0" xfId="0" applyNumberFormat="1" applyFont="1" applyBorder="1" applyAlignment="1" applyProtection="1">
      <alignment horizontal="center" vertical="center"/>
    </xf>
    <xf numFmtId="0" fontId="14" fillId="0" borderId="0" xfId="0" applyFont="1" applyBorder="1" applyAlignment="1" applyProtection="1">
      <alignment horizontal="center" vertical="top"/>
    </xf>
    <xf numFmtId="1" fontId="14" fillId="0" borderId="0" xfId="0" applyNumberFormat="1" applyFont="1" applyBorder="1" applyAlignment="1" applyProtection="1">
      <alignment horizontal="left" vertical="center"/>
    </xf>
    <xf numFmtId="0" fontId="14" fillId="0" borderId="0" xfId="0" applyFont="1" applyAlignment="1" applyProtection="1">
      <alignment horizontal="center" vertical="center"/>
    </xf>
    <xf numFmtId="0" fontId="33" fillId="0" borderId="0" xfId="1" applyFont="1" applyFill="1" applyAlignment="1" applyProtection="1"/>
    <xf numFmtId="0" fontId="33" fillId="0" borderId="0" xfId="1" applyFont="1" applyFill="1" applyAlignment="1" applyProtection="1">
      <alignment horizontal="right"/>
    </xf>
    <xf numFmtId="0" fontId="1" fillId="0" borderId="0" xfId="0" applyFont="1" applyFill="1" applyBorder="1" applyAlignment="1" applyProtection="1">
      <alignment vertical="top"/>
    </xf>
    <xf numFmtId="0" fontId="1" fillId="0" borderId="0" xfId="0" applyFont="1" applyBorder="1" applyAlignment="1" applyProtection="1">
      <alignment vertical="top" wrapText="1"/>
    </xf>
    <xf numFmtId="0" fontId="5" fillId="0" borderId="0" xfId="0" applyFont="1" applyBorder="1" applyAlignment="1" applyProtection="1">
      <alignment vertical="top"/>
    </xf>
    <xf numFmtId="0" fontId="5" fillId="0" borderId="0" xfId="0" applyFont="1" applyBorder="1" applyAlignment="1" applyProtection="1">
      <alignment horizontal="center" vertical="top"/>
    </xf>
    <xf numFmtId="1" fontId="14" fillId="0" borderId="0" xfId="0" applyNumberFormat="1" applyFont="1" applyBorder="1" applyAlignment="1" applyProtection="1">
      <alignment horizontal="center" vertical="center"/>
    </xf>
    <xf numFmtId="0" fontId="69" fillId="0" borderId="0" xfId="2" applyFont="1" applyProtection="1"/>
    <xf numFmtId="0" fontId="70" fillId="0" borderId="0" xfId="2" applyFont="1" applyAlignment="1" applyProtection="1">
      <alignment horizontal="left" vertical="center"/>
    </xf>
    <xf numFmtId="0" fontId="70" fillId="0" borderId="0" xfId="0" applyFont="1"/>
    <xf numFmtId="0" fontId="69" fillId="6" borderId="0" xfId="0" applyFont="1" applyFill="1" applyAlignment="1" applyProtection="1">
      <alignment vertical="top"/>
    </xf>
    <xf numFmtId="0" fontId="14" fillId="0" borderId="0" xfId="0" applyFont="1" applyAlignment="1" applyProtection="1">
      <alignment horizontal="left" vertical="top"/>
    </xf>
    <xf numFmtId="0" fontId="14" fillId="0" borderId="0" xfId="0" applyFont="1" applyBorder="1" applyAlignment="1" applyProtection="1">
      <alignment horizontal="left" vertical="top" wrapText="1"/>
      <protection locked="0"/>
    </xf>
    <xf numFmtId="164" fontId="14" fillId="0" borderId="0" xfId="2" applyNumberFormat="1" applyFont="1" applyBorder="1" applyAlignment="1" applyProtection="1">
      <alignment horizontal="right" vertical="top"/>
    </xf>
    <xf numFmtId="0" fontId="20" fillId="0" borderId="0" xfId="0" applyFont="1" applyAlignment="1" applyProtection="1">
      <alignment horizontal="right" vertical="center"/>
    </xf>
    <xf numFmtId="0" fontId="2" fillId="0" borderId="0" xfId="0" applyFont="1" applyAlignment="1" applyProtection="1">
      <alignment vertical="center"/>
    </xf>
    <xf numFmtId="0" fontId="20" fillId="0" borderId="0" xfId="0" applyFont="1" applyBorder="1" applyAlignment="1" applyProtection="1">
      <alignment horizontal="right" vertical="center"/>
    </xf>
    <xf numFmtId="0" fontId="0" fillId="0" borderId="0" xfId="0" applyAlignment="1">
      <alignment vertical="center"/>
    </xf>
    <xf numFmtId="0" fontId="0" fillId="0" borderId="0" xfId="0" applyAlignment="1" applyProtection="1">
      <alignment horizontal="right" vertical="center"/>
    </xf>
    <xf numFmtId="0" fontId="0" fillId="0" borderId="12" xfId="0" applyBorder="1" applyAlignment="1" applyProtection="1">
      <alignment horizontal="center" vertical="center"/>
    </xf>
    <xf numFmtId="0" fontId="5" fillId="0" borderId="15" xfId="0" applyFont="1" applyBorder="1" applyAlignment="1" applyProtection="1">
      <alignment horizontal="center" vertical="center"/>
    </xf>
    <xf numFmtId="0" fontId="5" fillId="0" borderId="12" xfId="0" applyFont="1" applyBorder="1" applyAlignment="1" applyProtection="1">
      <alignment horizontal="left" vertical="center"/>
    </xf>
    <xf numFmtId="0" fontId="5" fillId="0" borderId="14" xfId="0" applyFont="1" applyBorder="1" applyAlignment="1" applyProtection="1">
      <alignment horizontal="left" vertical="center"/>
    </xf>
    <xf numFmtId="0" fontId="20" fillId="0" borderId="0" xfId="0" applyFont="1" applyBorder="1" applyAlignment="1" applyProtection="1">
      <alignment horizontal="left" vertical="center"/>
    </xf>
    <xf numFmtId="0" fontId="0" fillId="0" borderId="13" xfId="0" applyBorder="1" applyAlignment="1" applyProtection="1">
      <alignment vertical="center"/>
    </xf>
    <xf numFmtId="0" fontId="0" fillId="0" borderId="14" xfId="0" applyBorder="1" applyAlignment="1" applyProtection="1">
      <alignment horizontal="left" vertical="center"/>
    </xf>
    <xf numFmtId="0" fontId="0" fillId="0" borderId="0" xfId="0" applyBorder="1" applyAlignment="1" applyProtection="1">
      <alignment horizontal="left" vertical="center"/>
    </xf>
    <xf numFmtId="0" fontId="0" fillId="0" borderId="0" xfId="0" applyBorder="1" applyAlignment="1" applyProtection="1">
      <alignment horizontal="center" vertical="center"/>
    </xf>
    <xf numFmtId="164" fontId="0" fillId="0" borderId="0" xfId="0" applyNumberFormat="1" applyBorder="1" applyAlignment="1" applyProtection="1">
      <alignment vertical="center"/>
    </xf>
    <xf numFmtId="0" fontId="5" fillId="0" borderId="15" xfId="2" applyFont="1" applyBorder="1" applyAlignment="1" applyProtection="1">
      <alignment horizontal="center" vertical="center"/>
    </xf>
    <xf numFmtId="0" fontId="50" fillId="0" borderId="0" xfId="2" applyFont="1" applyAlignment="1" applyProtection="1">
      <alignment horizontal="center" vertical="center" wrapText="1"/>
    </xf>
    <xf numFmtId="0" fontId="5" fillId="0" borderId="12" xfId="2" applyFont="1" applyBorder="1" applyAlignment="1" applyProtection="1">
      <alignment horizontal="left" vertical="center"/>
    </xf>
    <xf numFmtId="0" fontId="5" fillId="0" borderId="14" xfId="2" applyFont="1" applyBorder="1" applyAlignment="1" applyProtection="1">
      <alignment horizontal="left" vertical="center"/>
    </xf>
    <xf numFmtId="0" fontId="1" fillId="0" borderId="12" xfId="2" applyBorder="1" applyAlignment="1" applyProtection="1">
      <alignment horizontal="center" vertical="center"/>
    </xf>
    <xf numFmtId="0" fontId="1" fillId="0" borderId="13" xfId="2" applyBorder="1" applyAlignment="1" applyProtection="1">
      <alignment vertical="center"/>
    </xf>
    <xf numFmtId="0" fontId="0" fillId="0" borderId="18" xfId="0" applyBorder="1" applyAlignment="1" applyProtection="1">
      <alignment horizontal="center" vertical="center"/>
    </xf>
    <xf numFmtId="0" fontId="39" fillId="0" borderId="0" xfId="0" applyFont="1" applyFill="1"/>
    <xf numFmtId="0" fontId="39" fillId="0" borderId="0" xfId="0" applyFont="1" applyFill="1" applyProtection="1"/>
    <xf numFmtId="0" fontId="0" fillId="0" borderId="0" xfId="0" applyFill="1" applyAlignment="1" applyProtection="1">
      <alignment vertical="center"/>
    </xf>
    <xf numFmtId="0" fontId="14" fillId="0" borderId="0" xfId="0" applyFont="1" applyFill="1" applyAlignment="1" applyProtection="1">
      <alignment vertical="top"/>
    </xf>
    <xf numFmtId="0" fontId="1" fillId="0" borderId="0" xfId="0" applyFont="1" applyFill="1" applyAlignment="1" applyProtection="1">
      <alignment vertical="top"/>
    </xf>
    <xf numFmtId="0" fontId="1" fillId="0" borderId="0" xfId="0" applyFont="1" applyFill="1" applyAlignment="1" applyProtection="1">
      <alignment vertical="center"/>
    </xf>
    <xf numFmtId="0" fontId="38" fillId="0" borderId="0" xfId="0" applyFont="1" applyBorder="1" applyAlignment="1" applyProtection="1">
      <alignment horizontal="right" vertical="center"/>
    </xf>
    <xf numFmtId="0" fontId="38" fillId="0" borderId="0" xfId="0" applyFont="1" applyAlignment="1" applyProtection="1">
      <alignment horizontal="right" vertical="center"/>
    </xf>
    <xf numFmtId="0" fontId="38" fillId="0" borderId="0" xfId="0" applyFont="1" applyBorder="1" applyAlignment="1" applyProtection="1">
      <alignment horizontal="left" vertical="center"/>
      <protection locked="0"/>
    </xf>
    <xf numFmtId="0" fontId="38" fillId="0" borderId="0" xfId="0" applyFont="1" applyBorder="1" applyAlignment="1" applyProtection="1">
      <alignment horizontal="right" vertical="center"/>
      <protection locked="0"/>
    </xf>
    <xf numFmtId="0" fontId="2" fillId="0" borderId="0" xfId="0" quotePrefix="1" applyFont="1" applyProtection="1"/>
    <xf numFmtId="49" fontId="0" fillId="0" borderId="0" xfId="0" applyNumberFormat="1" applyAlignment="1"/>
    <xf numFmtId="0" fontId="62" fillId="0" borderId="0" xfId="0" applyFont="1" applyBorder="1" applyAlignment="1" applyProtection="1">
      <alignment horizontal="left" vertical="top"/>
    </xf>
    <xf numFmtId="0" fontId="51" fillId="0" borderId="0" xfId="0" applyFont="1" applyProtection="1"/>
    <xf numFmtId="0" fontId="0" fillId="0" borderId="0" xfId="0" applyFill="1"/>
    <xf numFmtId="0" fontId="43" fillId="0" borderId="0" xfId="0" applyFont="1" applyAlignment="1" applyProtection="1">
      <alignment vertical="top" wrapText="1"/>
    </xf>
    <xf numFmtId="49" fontId="2" fillId="0" borderId="0" xfId="0" applyNumberFormat="1" applyFont="1" applyAlignment="1" applyProtection="1"/>
    <xf numFmtId="0" fontId="44" fillId="0" borderId="0" xfId="0" applyFont="1" applyAlignment="1" applyProtection="1">
      <alignment vertical="top" wrapText="1"/>
    </xf>
    <xf numFmtId="49" fontId="1" fillId="0" borderId="0" xfId="0" applyNumberFormat="1" applyFont="1" applyAlignment="1">
      <alignment horizontal="center"/>
    </xf>
    <xf numFmtId="0" fontId="55" fillId="0" borderId="0" xfId="2" applyFont="1" applyProtection="1"/>
    <xf numFmtId="0" fontId="14" fillId="12" borderId="0" xfId="0" applyFont="1" applyFill="1" applyBorder="1" applyAlignment="1" applyProtection="1">
      <alignment vertical="top" wrapText="1"/>
    </xf>
    <xf numFmtId="0" fontId="46" fillId="0" borderId="0" xfId="0" applyFont="1"/>
    <xf numFmtId="0" fontId="2" fillId="6" borderId="0" xfId="0" quotePrefix="1" applyFont="1" applyFill="1" applyAlignment="1" applyProtection="1">
      <alignment vertical="top"/>
    </xf>
    <xf numFmtId="0" fontId="46" fillId="0" borderId="0" xfId="0" applyFont="1" applyProtection="1"/>
    <xf numFmtId="0" fontId="46" fillId="0" borderId="0" xfId="0" applyFont="1" applyAlignment="1" applyProtection="1">
      <alignment vertical="top"/>
    </xf>
    <xf numFmtId="0" fontId="71" fillId="11" borderId="0" xfId="0" applyFont="1" applyFill="1" applyAlignment="1">
      <alignment horizontal="left"/>
    </xf>
    <xf numFmtId="169" fontId="72" fillId="0" borderId="0" xfId="0" applyNumberFormat="1" applyFont="1" applyFill="1" applyBorder="1" applyAlignment="1" applyProtection="1"/>
    <xf numFmtId="170" fontId="0" fillId="0" borderId="0" xfId="0" applyNumberFormat="1"/>
    <xf numFmtId="0" fontId="21" fillId="0" borderId="0" xfId="0" applyFont="1"/>
    <xf numFmtId="0" fontId="5" fillId="0" borderId="0" xfId="0" applyFont="1" applyProtection="1">
      <protection locked="0"/>
    </xf>
    <xf numFmtId="0" fontId="5" fillId="0" borderId="16" xfId="0" applyFont="1" applyBorder="1" applyAlignment="1" applyProtection="1">
      <alignment horizontal="center" vertical="center"/>
    </xf>
    <xf numFmtId="0" fontId="73" fillId="0" borderId="0" xfId="0" applyFont="1" applyFill="1" applyBorder="1" applyAlignment="1">
      <alignment horizontal="left"/>
    </xf>
    <xf numFmtId="0" fontId="72" fillId="0" borderId="0" xfId="0" applyFont="1" applyFill="1" applyBorder="1" applyAlignment="1">
      <alignment horizontal="left"/>
    </xf>
    <xf numFmtId="14" fontId="72" fillId="0" borderId="0" xfId="0" applyNumberFormat="1" applyFont="1" applyFill="1" applyBorder="1" applyAlignment="1">
      <alignment horizontal="left"/>
    </xf>
    <xf numFmtId="0" fontId="72" fillId="0" borderId="0" xfId="0" applyFont="1" applyFill="1" applyBorder="1" applyAlignment="1">
      <alignment horizontal="left" wrapText="1"/>
    </xf>
    <xf numFmtId="3" fontId="72" fillId="0" borderId="0" xfId="0" applyNumberFormat="1" applyFont="1" applyFill="1" applyBorder="1" applyAlignment="1">
      <alignment horizontal="left"/>
    </xf>
    <xf numFmtId="0" fontId="72" fillId="0" borderId="0" xfId="0" applyFont="1" applyFill="1" applyBorder="1"/>
    <xf numFmtId="170" fontId="5" fillId="0" borderId="0" xfId="0" applyNumberFormat="1" applyFont="1" applyAlignment="1"/>
    <xf numFmtId="0" fontId="63" fillId="0" borderId="0" xfId="0" applyFont="1"/>
    <xf numFmtId="0" fontId="63" fillId="0" borderId="0" xfId="0" applyFont="1" applyAlignment="1">
      <alignment horizontal="left"/>
    </xf>
    <xf numFmtId="0" fontId="63" fillId="6" borderId="0" xfId="0" applyFont="1" applyFill="1" applyProtection="1"/>
    <xf numFmtId="0" fontId="0" fillId="0" borderId="0" xfId="0" applyBorder="1" applyAlignment="1" applyProtection="1">
      <alignment horizontal="left" vertical="center"/>
    </xf>
    <xf numFmtId="0" fontId="32" fillId="0" borderId="0" xfId="0" applyFont="1" applyAlignment="1" applyProtection="1"/>
    <xf numFmtId="0" fontId="5" fillId="0" borderId="0" xfId="0" applyFont="1" applyAlignment="1"/>
    <xf numFmtId="0" fontId="10" fillId="10" borderId="20" xfId="1" applyFont="1" applyFill="1" applyBorder="1" applyAlignment="1" applyProtection="1">
      <alignment horizontal="center"/>
    </xf>
    <xf numFmtId="0" fontId="10" fillId="10" borderId="12" xfId="1" applyFont="1" applyFill="1" applyBorder="1" applyAlignment="1" applyProtection="1">
      <alignment horizontal="center"/>
    </xf>
    <xf numFmtId="0" fontId="10" fillId="10" borderId="21" xfId="1" applyFont="1" applyFill="1" applyBorder="1" applyAlignment="1" applyProtection="1">
      <alignment horizontal="center"/>
    </xf>
    <xf numFmtId="0" fontId="0" fillId="0" borderId="14" xfId="0" applyBorder="1" applyAlignment="1" applyProtection="1">
      <alignment horizontal="left" vertical="center"/>
    </xf>
    <xf numFmtId="0" fontId="0" fillId="0" borderId="0" xfId="0" applyBorder="1" applyAlignment="1" applyProtection="1">
      <alignment horizontal="left" vertical="center"/>
    </xf>
    <xf numFmtId="0" fontId="0" fillId="0" borderId="12" xfId="0" applyBorder="1" applyAlignment="1" applyProtection="1">
      <alignment horizontal="center" vertical="center"/>
    </xf>
    <xf numFmtId="168" fontId="5" fillId="6" borderId="20" xfId="0" applyNumberFormat="1" applyFont="1" applyFill="1" applyBorder="1" applyAlignment="1" applyProtection="1">
      <alignment horizontal="center" vertical="center"/>
      <protection locked="0"/>
    </xf>
    <xf numFmtId="168" fontId="5" fillId="6" borderId="12" xfId="0" applyNumberFormat="1" applyFont="1" applyFill="1" applyBorder="1" applyAlignment="1" applyProtection="1">
      <alignment horizontal="center" vertical="center"/>
      <protection locked="0"/>
    </xf>
    <xf numFmtId="168" fontId="5" fillId="6" borderId="21" xfId="0" applyNumberFormat="1" applyFont="1" applyFill="1" applyBorder="1" applyAlignment="1" applyProtection="1">
      <alignment horizontal="center" vertical="center"/>
      <protection locked="0"/>
    </xf>
    <xf numFmtId="0" fontId="1" fillId="0" borderId="20" xfId="0" applyFont="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0" fillId="0" borderId="21" xfId="0"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0" fillId="0" borderId="20" xfId="0" applyBorder="1" applyAlignment="1" applyProtection="1">
      <alignment horizontal="left" vertical="center"/>
      <protection locked="0"/>
    </xf>
    <xf numFmtId="0" fontId="5" fillId="6" borderId="20" xfId="0" applyFont="1" applyFill="1" applyBorder="1" applyAlignment="1" applyProtection="1">
      <alignment horizontal="left" vertical="center"/>
      <protection locked="0"/>
    </xf>
    <xf numFmtId="0" fontId="5" fillId="6" borderId="12" xfId="0" applyFont="1" applyFill="1" applyBorder="1" applyAlignment="1" applyProtection="1">
      <alignment horizontal="left" vertical="center"/>
      <protection locked="0"/>
    </xf>
    <xf numFmtId="0" fontId="5" fillId="6" borderId="21" xfId="0" applyFont="1" applyFill="1" applyBorder="1" applyAlignment="1" applyProtection="1">
      <alignment horizontal="left" vertical="center"/>
      <protection locked="0"/>
    </xf>
    <xf numFmtId="1" fontId="5" fillId="6" borderId="20" xfId="0" applyNumberFormat="1" applyFont="1" applyFill="1" applyBorder="1" applyAlignment="1" applyProtection="1">
      <alignment horizontal="right" vertical="center"/>
      <protection locked="0"/>
    </xf>
    <xf numFmtId="1" fontId="5" fillId="6" borderId="12" xfId="0" applyNumberFormat="1" applyFont="1" applyFill="1" applyBorder="1" applyAlignment="1" applyProtection="1">
      <alignment horizontal="right" vertical="center"/>
      <protection locked="0"/>
    </xf>
    <xf numFmtId="1" fontId="5" fillId="6" borderId="21" xfId="0" applyNumberFormat="1" applyFont="1" applyFill="1" applyBorder="1" applyAlignment="1" applyProtection="1">
      <alignment horizontal="right" vertical="center"/>
      <protection locked="0"/>
    </xf>
    <xf numFmtId="0" fontId="1" fillId="6" borderId="20" xfId="0" applyFont="1" applyFill="1" applyBorder="1" applyAlignment="1" applyProtection="1">
      <alignment horizontal="left" vertical="center"/>
      <protection locked="0"/>
    </xf>
    <xf numFmtId="0" fontId="0" fillId="6" borderId="12" xfId="0" applyFill="1" applyBorder="1" applyAlignment="1" applyProtection="1">
      <alignment horizontal="left" vertical="center"/>
      <protection locked="0"/>
    </xf>
    <xf numFmtId="0" fontId="0" fillId="6" borderId="21" xfId="0" applyFill="1" applyBorder="1" applyAlignment="1" applyProtection="1">
      <alignment horizontal="left" vertical="center"/>
      <protection locked="0"/>
    </xf>
    <xf numFmtId="49" fontId="2" fillId="0" borderId="0" xfId="0" applyNumberFormat="1" applyFont="1" applyBorder="1" applyAlignment="1" applyProtection="1">
      <alignment horizontal="right"/>
    </xf>
    <xf numFmtId="0" fontId="0" fillId="0" borderId="18" xfId="0" applyBorder="1" applyAlignment="1" applyProtection="1">
      <alignment horizontal="left" vertical="center"/>
    </xf>
    <xf numFmtId="0" fontId="46" fillId="0" borderId="0" xfId="0" applyFont="1" applyAlignment="1">
      <alignment horizontal="center"/>
    </xf>
    <xf numFmtId="0" fontId="0" fillId="0" borderId="20" xfId="0" applyBorder="1" applyAlignment="1">
      <alignment horizontal="center"/>
    </xf>
    <xf numFmtId="0" fontId="0" fillId="0" borderId="12" xfId="0" applyBorder="1" applyAlignment="1">
      <alignment horizontal="center"/>
    </xf>
    <xf numFmtId="0" fontId="0" fillId="0" borderId="21" xfId="0" applyBorder="1" applyAlignment="1">
      <alignment horizontal="center"/>
    </xf>
    <xf numFmtId="0" fontId="50" fillId="0" borderId="0" xfId="0" applyFont="1" applyAlignment="1" applyProtection="1">
      <alignment horizontal="center" vertical="top" wrapText="1"/>
    </xf>
    <xf numFmtId="0" fontId="28" fillId="0" borderId="0" xfId="0" applyFont="1" applyAlignment="1" applyProtection="1">
      <alignment horizontal="left" vertical="center"/>
    </xf>
    <xf numFmtId="0" fontId="28" fillId="0" borderId="0" xfId="0" applyFont="1" applyAlignment="1" applyProtection="1">
      <alignment horizontal="left" vertical="top"/>
    </xf>
    <xf numFmtId="0" fontId="10" fillId="4" borderId="20" xfId="1" applyFont="1" applyFill="1" applyBorder="1" applyAlignment="1" applyProtection="1">
      <alignment horizontal="center"/>
    </xf>
    <xf numFmtId="0" fontId="10" fillId="4" borderId="12" xfId="1" applyFont="1" applyFill="1" applyBorder="1" applyAlignment="1" applyProtection="1">
      <alignment horizontal="center"/>
    </xf>
    <xf numFmtId="0" fontId="10" fillId="4" borderId="21" xfId="1" applyFont="1" applyFill="1" applyBorder="1" applyAlignment="1" applyProtection="1">
      <alignment horizontal="center"/>
    </xf>
    <xf numFmtId="0" fontId="65" fillId="0" borderId="0" xfId="1" applyFont="1" applyAlignment="1" applyProtection="1"/>
    <xf numFmtId="0" fontId="5" fillId="0" borderId="20" xfId="0" applyFont="1" applyBorder="1" applyAlignment="1" applyProtection="1">
      <alignment horizontal="left" vertical="center"/>
      <protection locked="0"/>
    </xf>
    <xf numFmtId="0" fontId="5" fillId="0" borderId="12" xfId="0" applyFont="1" applyBorder="1" applyAlignment="1" applyProtection="1">
      <alignment horizontal="left" vertical="center"/>
      <protection locked="0"/>
    </xf>
    <xf numFmtId="0" fontId="5" fillId="0" borderId="21" xfId="0" applyFont="1" applyBorder="1" applyAlignment="1" applyProtection="1">
      <alignment horizontal="left" vertical="center"/>
      <protection locked="0"/>
    </xf>
    <xf numFmtId="168" fontId="0" fillId="0" borderId="20" xfId="0" applyNumberFormat="1" applyBorder="1" applyAlignment="1" applyProtection="1">
      <alignment horizontal="center" vertical="center"/>
      <protection locked="0"/>
    </xf>
    <xf numFmtId="168" fontId="0" fillId="0" borderId="12" xfId="0" applyNumberFormat="1" applyBorder="1" applyAlignment="1" applyProtection="1">
      <alignment horizontal="center" vertical="center"/>
      <protection locked="0"/>
    </xf>
    <xf numFmtId="168" fontId="0" fillId="0" borderId="21" xfId="0" applyNumberFormat="1" applyBorder="1" applyAlignment="1" applyProtection="1">
      <alignment horizontal="center" vertical="center"/>
      <protection locked="0"/>
    </xf>
    <xf numFmtId="1" fontId="14" fillId="0" borderId="20" xfId="0" applyNumberFormat="1" applyFont="1" applyBorder="1" applyAlignment="1" applyProtection="1">
      <alignment horizontal="center" vertical="center"/>
      <protection locked="0"/>
    </xf>
    <xf numFmtId="1" fontId="14" fillId="0" borderId="21" xfId="0" applyNumberFormat="1" applyFont="1" applyBorder="1" applyAlignment="1" applyProtection="1">
      <alignment horizontal="center" vertical="center"/>
      <protection locked="0"/>
    </xf>
    <xf numFmtId="0" fontId="14" fillId="0" borderId="20"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21" xfId="0" applyFont="1" applyBorder="1" applyAlignment="1" applyProtection="1">
      <alignment horizontal="left" vertical="center"/>
      <protection locked="0"/>
    </xf>
    <xf numFmtId="0" fontId="14" fillId="0" borderId="20" xfId="0" applyFont="1" applyBorder="1" applyAlignment="1" applyProtection="1">
      <alignment horizontal="left" vertical="top" wrapText="1"/>
      <protection locked="0"/>
    </xf>
    <xf numFmtId="0" fontId="14" fillId="0" borderId="12" xfId="0" applyFont="1" applyBorder="1" applyAlignment="1" applyProtection="1">
      <alignment horizontal="left" vertical="top" wrapText="1"/>
      <protection locked="0"/>
    </xf>
    <xf numFmtId="0" fontId="14" fillId="0" borderId="21" xfId="0" applyFont="1" applyBorder="1" applyAlignment="1" applyProtection="1">
      <alignment horizontal="left" vertical="top" wrapText="1"/>
      <protection locked="0"/>
    </xf>
    <xf numFmtId="49" fontId="2" fillId="0" borderId="14" xfId="0" applyNumberFormat="1" applyFont="1" applyBorder="1" applyAlignment="1" applyProtection="1">
      <alignment horizontal="left"/>
      <protection locked="0"/>
    </xf>
    <xf numFmtId="0" fontId="14" fillId="0" borderId="20" xfId="0" applyFont="1" applyBorder="1" applyAlignment="1" applyProtection="1">
      <alignment horizontal="center" vertical="top"/>
      <protection locked="0"/>
    </xf>
    <xf numFmtId="0" fontId="14" fillId="0" borderId="12" xfId="0" applyFont="1" applyBorder="1" applyAlignment="1" applyProtection="1">
      <alignment horizontal="center" vertical="top"/>
      <protection locked="0"/>
    </xf>
    <xf numFmtId="0" fontId="14" fillId="0" borderId="21" xfId="0" applyFont="1" applyBorder="1" applyAlignment="1" applyProtection="1">
      <alignment horizontal="center" vertical="top"/>
      <protection locked="0"/>
    </xf>
    <xf numFmtId="0" fontId="0" fillId="0" borderId="0" xfId="0" applyAlignment="1" applyProtection="1">
      <alignment horizontal="left" vertical="top" wrapText="1"/>
    </xf>
    <xf numFmtId="0" fontId="45" fillId="0" borderId="0" xfId="1" applyFont="1" applyAlignment="1" applyProtection="1"/>
    <xf numFmtId="9" fontId="51" fillId="0" borderId="0" xfId="0" applyNumberFormat="1" applyFont="1" applyAlignment="1" applyProtection="1">
      <alignment horizontal="center"/>
    </xf>
    <xf numFmtId="0" fontId="31" fillId="4" borderId="21" xfId="1" applyFont="1" applyFill="1" applyBorder="1" applyAlignment="1" applyProtection="1">
      <alignment horizontal="center"/>
    </xf>
    <xf numFmtId="0" fontId="14" fillId="0" borderId="0" xfId="0" applyFont="1" applyBorder="1" applyAlignment="1" applyProtection="1">
      <alignment horizontal="left" vertical="top" wrapText="1"/>
    </xf>
    <xf numFmtId="0" fontId="14" fillId="0" borderId="20" xfId="0"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5" fillId="0" borderId="0" xfId="0" applyFont="1" applyAlignment="1" applyProtection="1">
      <alignment horizontal="left" vertical="center"/>
    </xf>
    <xf numFmtId="0" fontId="0" fillId="0" borderId="20" xfId="0" applyBorder="1" applyAlignment="1" applyProtection="1">
      <alignment horizontal="center"/>
      <protection locked="0"/>
    </xf>
    <xf numFmtId="0" fontId="0" fillId="0" borderId="21" xfId="0" applyBorder="1" applyAlignment="1" applyProtection="1">
      <alignment horizontal="center"/>
      <protection locked="0"/>
    </xf>
    <xf numFmtId="0" fontId="54" fillId="0" borderId="20" xfId="0" applyFont="1" applyBorder="1" applyAlignment="1" applyProtection="1">
      <alignment horizontal="left" vertical="top" wrapText="1"/>
      <protection locked="0"/>
    </xf>
    <xf numFmtId="0" fontId="54" fillId="0" borderId="12" xfId="0" applyFont="1" applyBorder="1" applyAlignment="1" applyProtection="1">
      <alignment horizontal="left" vertical="top" wrapText="1"/>
      <protection locked="0"/>
    </xf>
    <xf numFmtId="0" fontId="54" fillId="0" borderId="21" xfId="0" applyFont="1" applyBorder="1" applyAlignment="1" applyProtection="1">
      <alignment horizontal="left" vertical="top" wrapText="1"/>
      <protection locked="0"/>
    </xf>
    <xf numFmtId="0" fontId="14" fillId="0" borderId="0" xfId="0" applyFont="1" applyBorder="1" applyAlignment="1" applyProtection="1">
      <alignment horizontal="left"/>
    </xf>
    <xf numFmtId="0" fontId="0" fillId="0" borderId="20"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5" fillId="0" borderId="0" xfId="0" applyFont="1" applyFill="1" applyAlignment="1" applyProtection="1">
      <alignment horizontal="left" vertical="center"/>
    </xf>
    <xf numFmtId="0" fontId="28" fillId="0" borderId="0" xfId="0" applyFont="1" applyFill="1" applyAlignment="1" applyProtection="1">
      <alignment horizontal="left" vertical="center"/>
    </xf>
    <xf numFmtId="2" fontId="2" fillId="0" borderId="0" xfId="0" applyNumberFormat="1" applyFont="1" applyAlignment="1" applyProtection="1">
      <alignment horizontal="left"/>
    </xf>
    <xf numFmtId="0" fontId="2" fillId="0" borderId="0" xfId="0" applyFont="1" applyAlignment="1" applyProtection="1">
      <alignment horizontal="left"/>
    </xf>
    <xf numFmtId="0" fontId="2" fillId="0" borderId="0" xfId="0" applyFont="1" applyAlignment="1" applyProtection="1">
      <alignment horizontal="left" vertical="center"/>
    </xf>
    <xf numFmtId="0" fontId="10" fillId="4" borderId="20" xfId="1" applyFont="1" applyFill="1" applyBorder="1" applyAlignment="1" applyProtection="1"/>
    <xf numFmtId="0" fontId="10" fillId="4" borderId="12" xfId="1" applyFont="1" applyFill="1" applyBorder="1" applyAlignment="1" applyProtection="1"/>
    <xf numFmtId="0" fontId="10" fillId="4" borderId="21" xfId="1" applyFont="1" applyFill="1" applyBorder="1" applyAlignment="1" applyProtection="1"/>
    <xf numFmtId="0" fontId="15" fillId="0" borderId="0" xfId="0" applyFont="1" applyAlignment="1" applyProtection="1">
      <alignment horizontal="left"/>
    </xf>
    <xf numFmtId="0" fontId="28" fillId="0" borderId="0" xfId="0" applyFont="1" applyAlignment="1" applyProtection="1">
      <alignment horizontal="left"/>
    </xf>
    <xf numFmtId="0" fontId="14" fillId="6" borderId="0" xfId="0" applyFont="1" applyFill="1" applyBorder="1" applyAlignment="1" applyProtection="1">
      <alignment horizontal="left" vertical="top" wrapText="1"/>
    </xf>
    <xf numFmtId="0" fontId="2" fillId="0" borderId="0" xfId="0" applyFont="1" applyFill="1" applyAlignment="1" applyProtection="1">
      <alignment horizontal="left"/>
    </xf>
    <xf numFmtId="0" fontId="2" fillId="0" borderId="0" xfId="0" applyFont="1" applyFill="1" applyAlignment="1" applyProtection="1">
      <alignment horizontal="center"/>
    </xf>
    <xf numFmtId="0" fontId="10" fillId="4" borderId="20" xfId="1" applyFont="1" applyFill="1" applyBorder="1" applyAlignment="1" applyProtection="1">
      <alignment horizontal="left"/>
    </xf>
    <xf numFmtId="0" fontId="10" fillId="4" borderId="12" xfId="1" applyFont="1" applyFill="1" applyBorder="1" applyAlignment="1" applyProtection="1">
      <alignment horizontal="left"/>
    </xf>
    <xf numFmtId="0" fontId="10" fillId="4" borderId="21" xfId="1" applyFont="1" applyFill="1" applyBorder="1" applyAlignment="1" applyProtection="1">
      <alignment horizontal="left"/>
    </xf>
    <xf numFmtId="0" fontId="15" fillId="0" borderId="0" xfId="0" applyFont="1" applyAlignment="1" applyProtection="1">
      <alignment horizontal="left" vertical="justify"/>
    </xf>
    <xf numFmtId="0" fontId="28" fillId="0" borderId="0" xfId="0" applyFont="1" applyAlignment="1" applyProtection="1">
      <alignment horizontal="left" vertical="justify"/>
    </xf>
    <xf numFmtId="0" fontId="2" fillId="0" borderId="0" xfId="0" applyFont="1" applyAlignment="1" applyProtection="1">
      <alignment horizontal="left" vertical="top" wrapText="1"/>
    </xf>
    <xf numFmtId="0" fontId="0" fillId="0" borderId="0" xfId="0" applyAlignment="1" applyProtection="1">
      <alignment vertical="top" wrapText="1"/>
    </xf>
    <xf numFmtId="0" fontId="0" fillId="0" borderId="0" xfId="0" applyAlignment="1">
      <alignment vertical="top" wrapText="1"/>
    </xf>
    <xf numFmtId="0" fontId="74" fillId="0" borderId="0" xfId="0" applyFont="1" applyAlignment="1" applyProtection="1">
      <alignment vertical="top" wrapText="1"/>
    </xf>
    <xf numFmtId="0" fontId="74" fillId="0" borderId="0" xfId="0" applyFont="1" applyAlignment="1">
      <alignment vertical="top" wrapText="1"/>
    </xf>
    <xf numFmtId="0" fontId="14" fillId="0" borderId="20" xfId="2" applyFont="1" applyBorder="1" applyAlignment="1" applyProtection="1">
      <alignment horizontal="left" vertical="top" wrapText="1"/>
      <protection locked="0"/>
    </xf>
    <xf numFmtId="0" fontId="14" fillId="0" borderId="12" xfId="2" applyFont="1" applyBorder="1" applyAlignment="1" applyProtection="1">
      <alignment horizontal="left" vertical="top" wrapText="1"/>
      <protection locked="0"/>
    </xf>
    <xf numFmtId="0" fontId="14" fillId="0" borderId="21" xfId="2" applyFont="1" applyBorder="1" applyAlignment="1" applyProtection="1">
      <alignment horizontal="left" vertical="top" wrapText="1"/>
      <protection locked="0"/>
    </xf>
    <xf numFmtId="0" fontId="14" fillId="0" borderId="0" xfId="2" applyFont="1" applyBorder="1" applyAlignment="1" applyProtection="1">
      <alignment horizontal="left" vertical="top" wrapText="1"/>
    </xf>
    <xf numFmtId="0" fontId="14" fillId="0" borderId="0" xfId="0" applyFont="1" applyAlignment="1">
      <alignment horizontal="left" vertical="top" wrapText="1"/>
    </xf>
    <xf numFmtId="0" fontId="20" fillId="0" borderId="0" xfId="2" applyFont="1" applyAlignment="1" applyProtection="1">
      <alignment horizontal="left" vertical="center"/>
      <protection locked="0"/>
    </xf>
    <xf numFmtId="0" fontId="14" fillId="0" borderId="20" xfId="2" applyFont="1" applyBorder="1" applyAlignment="1" applyProtection="1">
      <alignment horizontal="center" vertical="top"/>
      <protection locked="0"/>
    </xf>
    <xf numFmtId="0" fontId="14" fillId="0" borderId="12" xfId="2" applyFont="1" applyBorder="1" applyAlignment="1" applyProtection="1">
      <alignment horizontal="center" vertical="top"/>
      <protection locked="0"/>
    </xf>
    <xf numFmtId="0" fontId="14" fillId="0" borderId="21" xfId="2" applyFont="1" applyBorder="1" applyAlignment="1" applyProtection="1">
      <alignment horizontal="center" vertical="top"/>
      <protection locked="0"/>
    </xf>
    <xf numFmtId="0" fontId="14" fillId="0" borderId="20" xfId="2" applyFont="1" applyFill="1" applyBorder="1" applyAlignment="1" applyProtection="1">
      <alignment horizontal="left" vertical="top" wrapText="1"/>
      <protection locked="0"/>
    </xf>
    <xf numFmtId="0" fontId="14" fillId="0" borderId="12" xfId="2" applyFont="1" applyFill="1" applyBorder="1" applyAlignment="1" applyProtection="1">
      <alignment horizontal="left" vertical="top" wrapText="1"/>
      <protection locked="0"/>
    </xf>
    <xf numFmtId="0" fontId="14" fillId="0" borderId="21" xfId="2" applyFont="1" applyFill="1" applyBorder="1" applyAlignment="1" applyProtection="1">
      <alignment horizontal="left" vertical="top" wrapText="1"/>
      <protection locked="0"/>
    </xf>
    <xf numFmtId="0" fontId="14" fillId="0" borderId="20" xfId="2" applyFont="1" applyBorder="1" applyAlignment="1" applyProtection="1">
      <protection locked="0"/>
    </xf>
    <xf numFmtId="0" fontId="14" fillId="0" borderId="21" xfId="2" applyFont="1" applyBorder="1" applyAlignment="1" applyProtection="1">
      <protection locked="0"/>
    </xf>
    <xf numFmtId="1" fontId="14" fillId="0" borderId="20" xfId="2" applyNumberFormat="1" applyFont="1" applyBorder="1" applyAlignment="1" applyProtection="1">
      <alignment horizontal="center" vertical="top"/>
      <protection locked="0"/>
    </xf>
    <xf numFmtId="1" fontId="14" fillId="0" borderId="21" xfId="2" applyNumberFormat="1" applyFont="1" applyBorder="1" applyAlignment="1" applyProtection="1">
      <alignment horizontal="center" vertical="top"/>
      <protection locked="0"/>
    </xf>
    <xf numFmtId="1" fontId="2" fillId="0" borderId="20" xfId="2" applyNumberFormat="1" applyFont="1" applyBorder="1" applyAlignment="1" applyProtection="1">
      <alignment horizontal="center" vertical="center"/>
      <protection locked="0"/>
    </xf>
    <xf numFmtId="1" fontId="2" fillId="0" borderId="21" xfId="2" applyNumberFormat="1" applyFont="1" applyBorder="1" applyAlignment="1" applyProtection="1">
      <alignment horizontal="center" vertical="center"/>
      <protection locked="0"/>
    </xf>
    <xf numFmtId="1" fontId="1" fillId="0" borderId="20" xfId="2" applyNumberFormat="1" applyBorder="1" applyAlignment="1" applyProtection="1">
      <alignment horizontal="center" vertical="top"/>
      <protection locked="0"/>
    </xf>
    <xf numFmtId="1" fontId="1" fillId="0" borderId="21" xfId="2" applyNumberFormat="1" applyBorder="1" applyAlignment="1" applyProtection="1">
      <alignment horizontal="center" vertical="top"/>
      <protection locked="0"/>
    </xf>
    <xf numFmtId="0" fontId="14" fillId="0" borderId="0" xfId="2" applyFont="1" applyAlignment="1" applyProtection="1">
      <alignment horizontal="left" vertical="top" wrapText="1"/>
    </xf>
    <xf numFmtId="0" fontId="1" fillId="0" borderId="0" xfId="2" applyAlignment="1" applyProtection="1">
      <alignment horizontal="left" vertical="top" wrapText="1"/>
    </xf>
    <xf numFmtId="0" fontId="1" fillId="0" borderId="20" xfId="2" applyBorder="1" applyAlignment="1" applyProtection="1">
      <alignment horizontal="left" vertical="top" wrapText="1"/>
      <protection locked="0"/>
    </xf>
    <xf numFmtId="0" fontId="1" fillId="0" borderId="12" xfId="2" applyBorder="1" applyAlignment="1" applyProtection="1">
      <alignment horizontal="left" vertical="top" wrapText="1"/>
      <protection locked="0"/>
    </xf>
    <xf numFmtId="0" fontId="1" fillId="0" borderId="21" xfId="2" applyBorder="1" applyAlignment="1" applyProtection="1">
      <alignment horizontal="left" vertical="top" wrapText="1"/>
      <protection locked="0"/>
    </xf>
    <xf numFmtId="0" fontId="14" fillId="6" borderId="0" xfId="0" applyFont="1" applyFill="1" applyAlignment="1">
      <alignment horizontal="left" vertical="top" wrapText="1"/>
    </xf>
    <xf numFmtId="0" fontId="2" fillId="0" borderId="0" xfId="2" applyFont="1" applyAlignment="1" applyProtection="1">
      <alignment horizontal="left" vertical="top" wrapText="1"/>
    </xf>
    <xf numFmtId="0" fontId="28" fillId="0" borderId="0" xfId="2" applyFont="1" applyAlignment="1" applyProtection="1">
      <alignment horizontal="left"/>
    </xf>
    <xf numFmtId="0" fontId="14" fillId="0" borderId="0" xfId="2" applyFont="1" applyAlignment="1" applyProtection="1">
      <alignment horizontal="left"/>
    </xf>
    <xf numFmtId="0" fontId="14" fillId="6" borderId="0" xfId="0" applyFont="1" applyFill="1" applyAlignment="1">
      <alignment horizontal="left" vertical="top"/>
    </xf>
    <xf numFmtId="0" fontId="28" fillId="0" borderId="0" xfId="2" applyFont="1" applyAlignment="1" applyProtection="1">
      <alignment horizontal="left" vertical="justify"/>
    </xf>
    <xf numFmtId="0" fontId="14" fillId="0" borderId="0" xfId="2" applyFont="1" applyFill="1" applyAlignment="1" applyProtection="1">
      <alignment horizontal="left" vertical="top" wrapText="1"/>
    </xf>
    <xf numFmtId="0" fontId="28" fillId="0" borderId="0" xfId="2" applyFont="1" applyAlignment="1" applyProtection="1">
      <alignment horizontal="left" vertical="center"/>
    </xf>
    <xf numFmtId="0" fontId="14" fillId="0" borderId="20" xfId="2" applyFont="1" applyBorder="1" applyAlignment="1" applyProtection="1">
      <alignment horizontal="left" wrapText="1"/>
      <protection locked="0"/>
    </xf>
    <xf numFmtId="0" fontId="14" fillId="0" borderId="12" xfId="2" applyFont="1" applyBorder="1" applyAlignment="1" applyProtection="1">
      <alignment horizontal="left" wrapText="1"/>
      <protection locked="0"/>
    </xf>
    <xf numFmtId="0" fontId="14" fillId="0" borderId="21" xfId="2" applyFont="1" applyBorder="1" applyAlignment="1" applyProtection="1">
      <alignment horizontal="left" wrapText="1"/>
      <protection locked="0"/>
    </xf>
    <xf numFmtId="0" fontId="14" fillId="0" borderId="20" xfId="2" applyFont="1" applyBorder="1" applyAlignment="1" applyProtection="1">
      <alignment horizontal="center" vertical="top" wrapText="1"/>
      <protection locked="0"/>
    </xf>
    <xf numFmtId="0" fontId="14" fillId="0" borderId="12" xfId="2" applyFont="1" applyBorder="1" applyAlignment="1" applyProtection="1">
      <alignment horizontal="center" vertical="top" wrapText="1"/>
      <protection locked="0"/>
    </xf>
    <xf numFmtId="0" fontId="14" fillId="0" borderId="21" xfId="2" applyFont="1" applyBorder="1" applyAlignment="1" applyProtection="1">
      <alignment horizontal="center" vertical="top" wrapText="1"/>
      <protection locked="0"/>
    </xf>
    <xf numFmtId="0" fontId="14" fillId="0" borderId="0" xfId="0" applyFont="1" applyAlignment="1">
      <alignment horizontal="left" vertical="top"/>
    </xf>
    <xf numFmtId="164" fontId="14" fillId="0" borderId="20" xfId="2" applyNumberFormat="1" applyFont="1" applyBorder="1" applyAlignment="1" applyProtection="1">
      <alignment horizontal="left" vertical="top" wrapText="1"/>
      <protection locked="0"/>
    </xf>
    <xf numFmtId="164" fontId="14" fillId="0" borderId="12" xfId="2" applyNumberFormat="1" applyFont="1" applyBorder="1" applyAlignment="1" applyProtection="1">
      <alignment horizontal="left" vertical="top" wrapText="1"/>
      <protection locked="0"/>
    </xf>
    <xf numFmtId="164" fontId="14" fillId="0" borderId="21" xfId="2" applyNumberFormat="1" applyFont="1" applyBorder="1" applyAlignment="1" applyProtection="1">
      <alignment horizontal="left" vertical="top" wrapText="1"/>
      <protection locked="0"/>
    </xf>
    <xf numFmtId="0" fontId="14" fillId="0" borderId="25" xfId="2" applyFont="1" applyBorder="1" applyAlignment="1" applyProtection="1">
      <alignment horizontal="left" vertical="top" wrapText="1"/>
      <protection locked="0"/>
    </xf>
    <xf numFmtId="0" fontId="14" fillId="0" borderId="18" xfId="2" applyFont="1" applyBorder="1" applyAlignment="1" applyProtection="1">
      <alignment horizontal="left" vertical="top" wrapText="1"/>
      <protection locked="0"/>
    </xf>
    <xf numFmtId="0" fontId="14" fillId="0" borderId="26" xfId="2" applyFont="1" applyBorder="1" applyAlignment="1" applyProtection="1">
      <alignment horizontal="left" vertical="top" wrapText="1"/>
      <protection locked="0"/>
    </xf>
    <xf numFmtId="0" fontId="14" fillId="0" borderId="12" xfId="2" applyFont="1" applyBorder="1" applyAlignment="1">
      <alignment vertical="top" wrapText="1"/>
    </xf>
    <xf numFmtId="0" fontId="14" fillId="0" borderId="21" xfId="2" applyFont="1" applyBorder="1" applyAlignment="1">
      <alignment vertical="top" wrapText="1"/>
    </xf>
    <xf numFmtId="0" fontId="14" fillId="0" borderId="20" xfId="2" applyFont="1" applyBorder="1" applyAlignment="1" applyProtection="1">
      <alignment horizontal="center" vertical="center" wrapText="1"/>
      <protection locked="0"/>
    </xf>
    <xf numFmtId="0" fontId="14" fillId="0" borderId="12" xfId="2" applyFont="1" applyBorder="1" applyAlignment="1" applyProtection="1">
      <alignment horizontal="center" vertical="center" wrapText="1"/>
      <protection locked="0"/>
    </xf>
    <xf numFmtId="0" fontId="14" fillId="0" borderId="21" xfId="2" applyFont="1" applyBorder="1" applyAlignment="1" applyProtection="1">
      <alignment horizontal="center" vertical="center" wrapText="1"/>
      <protection locked="0"/>
    </xf>
    <xf numFmtId="0" fontId="1" fillId="0" borderId="20" xfId="2" applyBorder="1" applyAlignment="1" applyProtection="1">
      <alignment horizontal="center"/>
      <protection locked="0"/>
    </xf>
    <xf numFmtId="0" fontId="1" fillId="0" borderId="12" xfId="2" applyBorder="1" applyAlignment="1" applyProtection="1">
      <alignment horizontal="center"/>
      <protection locked="0"/>
    </xf>
    <xf numFmtId="0" fontId="1" fillId="0" borderId="21" xfId="2" applyBorder="1" applyAlignment="1" applyProtection="1">
      <alignment horizontal="center"/>
      <protection locked="0"/>
    </xf>
    <xf numFmtId="0" fontId="2" fillId="0" borderId="16" xfId="2" quotePrefix="1" applyFont="1" applyBorder="1" applyAlignment="1" applyProtection="1">
      <alignment horizontal="left" wrapText="1"/>
    </xf>
    <xf numFmtId="0" fontId="2" fillId="0" borderId="0" xfId="2" quotePrefix="1" applyFont="1" applyBorder="1" applyAlignment="1" applyProtection="1">
      <alignment horizontal="left" wrapText="1"/>
    </xf>
    <xf numFmtId="0" fontId="14" fillId="0" borderId="27" xfId="2" applyFont="1" applyBorder="1" applyAlignment="1" applyProtection="1">
      <alignment horizontal="left" vertical="top" wrapText="1"/>
      <protection locked="0"/>
    </xf>
    <xf numFmtId="0" fontId="14" fillId="0" borderId="14" xfId="2" applyFont="1" applyBorder="1" applyAlignment="1" applyProtection="1">
      <alignment horizontal="left" vertical="top" wrapText="1"/>
      <protection locked="0"/>
    </xf>
    <xf numFmtId="0" fontId="14" fillId="0" borderId="28" xfId="2" applyFont="1" applyBorder="1" applyAlignment="1" applyProtection="1">
      <alignment horizontal="left" vertical="top" wrapText="1"/>
      <protection locked="0"/>
    </xf>
    <xf numFmtId="0" fontId="14" fillId="0" borderId="0" xfId="2" applyFont="1" applyFill="1" applyBorder="1" applyAlignment="1" applyProtection="1">
      <alignment horizontal="left" vertical="top" wrapText="1"/>
    </xf>
    <xf numFmtId="1" fontId="14" fillId="0" borderId="20" xfId="2" applyNumberFormat="1" applyFont="1" applyBorder="1" applyAlignment="1" applyProtection="1">
      <alignment horizontal="center" vertical="top" wrapText="1"/>
      <protection locked="0"/>
    </xf>
    <xf numFmtId="1" fontId="14" fillId="0" borderId="21" xfId="2" applyNumberFormat="1" applyFont="1" applyBorder="1" applyAlignment="1" applyProtection="1">
      <alignment horizontal="center" vertical="top" wrapText="1"/>
      <protection locked="0"/>
    </xf>
    <xf numFmtId="0" fontId="28" fillId="0" borderId="0" xfId="2" applyFont="1" applyFill="1" applyAlignment="1" applyProtection="1">
      <alignment horizontal="left" vertical="center"/>
    </xf>
    <xf numFmtId="0" fontId="14" fillId="0" borderId="0" xfId="2" applyFont="1" applyBorder="1" applyAlignment="1" applyProtection="1">
      <alignment horizontal="left" vertical="top" wrapText="1"/>
      <protection locked="0"/>
    </xf>
    <xf numFmtId="0" fontId="14" fillId="0" borderId="20" xfId="2" applyFont="1" applyBorder="1" applyAlignment="1" applyProtection="1">
      <alignment horizontal="center"/>
      <protection locked="0"/>
    </xf>
    <xf numFmtId="0" fontId="14" fillId="0" borderId="12" xfId="2" applyFont="1" applyBorder="1" applyAlignment="1" applyProtection="1">
      <alignment horizontal="center"/>
      <protection locked="0"/>
    </xf>
    <xf numFmtId="0" fontId="14" fillId="0" borderId="21" xfId="2" applyFont="1" applyBorder="1" applyAlignment="1" applyProtection="1">
      <alignment horizontal="center"/>
      <protection locked="0"/>
    </xf>
    <xf numFmtId="1" fontId="14" fillId="0" borderId="12" xfId="2" applyNumberFormat="1" applyFont="1" applyBorder="1" applyAlignment="1" applyProtection="1">
      <alignment horizontal="center" vertical="top" wrapText="1"/>
      <protection locked="0"/>
    </xf>
    <xf numFmtId="0" fontId="1" fillId="0" borderId="0" xfId="2" applyAlignment="1" applyProtection="1">
      <alignment vertical="top" wrapText="1"/>
    </xf>
    <xf numFmtId="0" fontId="45" fillId="10" borderId="20" xfId="1" applyFont="1" applyFill="1" applyBorder="1" applyAlignment="1" applyProtection="1">
      <alignment horizontal="center"/>
    </xf>
    <xf numFmtId="0" fontId="45" fillId="10" borderId="12" xfId="1" applyFont="1" applyFill="1" applyBorder="1" applyAlignment="1" applyProtection="1">
      <alignment horizontal="center"/>
    </xf>
    <xf numFmtId="0" fontId="45" fillId="10" borderId="21" xfId="1" applyFont="1" applyFill="1" applyBorder="1" applyAlignment="1" applyProtection="1">
      <alignment horizontal="center"/>
    </xf>
    <xf numFmtId="1" fontId="2" fillId="0" borderId="20" xfId="2" applyNumberFormat="1" applyFont="1" applyBorder="1" applyAlignment="1" applyProtection="1">
      <alignment horizontal="center" vertical="top"/>
      <protection locked="0"/>
    </xf>
    <xf numFmtId="1" fontId="2" fillId="0" borderId="21" xfId="2" applyNumberFormat="1" applyFont="1" applyBorder="1" applyAlignment="1" applyProtection="1">
      <alignment horizontal="center" vertical="top"/>
      <protection locked="0"/>
    </xf>
    <xf numFmtId="0" fontId="14" fillId="0" borderId="20" xfId="2" applyFont="1" applyBorder="1" applyAlignment="1" applyProtection="1">
      <alignment horizontal="left" vertical="top"/>
      <protection locked="0"/>
    </xf>
    <xf numFmtId="0" fontId="14" fillId="0" borderId="12" xfId="2" applyFont="1" applyBorder="1" applyAlignment="1" applyProtection="1">
      <alignment horizontal="left" vertical="top"/>
      <protection locked="0"/>
    </xf>
    <xf numFmtId="0" fontId="14" fillId="0" borderId="21" xfId="2" applyFont="1" applyBorder="1" applyAlignment="1" applyProtection="1">
      <alignment horizontal="left" vertical="top"/>
      <protection locked="0"/>
    </xf>
    <xf numFmtId="1" fontId="14" fillId="0" borderId="20" xfId="2" applyNumberFormat="1" applyFont="1" applyBorder="1" applyAlignment="1" applyProtection="1">
      <alignment horizontal="center" vertical="center"/>
      <protection locked="0"/>
    </xf>
    <xf numFmtId="1" fontId="14" fillId="0" borderId="21" xfId="2" applyNumberFormat="1" applyFont="1" applyBorder="1" applyAlignment="1" applyProtection="1">
      <alignment horizontal="center" vertical="center"/>
      <protection locked="0"/>
    </xf>
    <xf numFmtId="1" fontId="14" fillId="0" borderId="20" xfId="2" applyNumberFormat="1" applyFont="1" applyBorder="1" applyAlignment="1" applyProtection="1">
      <alignment horizontal="center"/>
      <protection locked="0"/>
    </xf>
    <xf numFmtId="1" fontId="14" fillId="0" borderId="21" xfId="2" applyNumberFormat="1" applyFont="1" applyBorder="1" applyAlignment="1" applyProtection="1">
      <alignment horizontal="center"/>
      <protection locked="0"/>
    </xf>
    <xf numFmtId="1" fontId="1" fillId="0" borderId="14" xfId="2" applyNumberFormat="1" applyBorder="1" applyAlignment="1" applyProtection="1">
      <alignment horizontal="center" vertical="top"/>
    </xf>
    <xf numFmtId="0" fontId="74" fillId="0" borderId="0" xfId="2" applyFont="1" applyAlignment="1" applyProtection="1">
      <alignment vertical="top" wrapText="1"/>
    </xf>
    <xf numFmtId="0" fontId="1" fillId="0" borderId="20" xfId="2" applyBorder="1" applyAlignment="1" applyProtection="1">
      <alignment horizontal="left" vertical="center"/>
      <protection locked="0"/>
    </xf>
    <xf numFmtId="0" fontId="1" fillId="0" borderId="12" xfId="2" applyBorder="1" applyAlignment="1" applyProtection="1">
      <alignment horizontal="left" vertical="center"/>
      <protection locked="0"/>
    </xf>
    <xf numFmtId="0" fontId="1" fillId="0" borderId="21" xfId="2" applyBorder="1" applyAlignment="1" applyProtection="1">
      <alignment horizontal="left" vertical="center"/>
      <protection locked="0"/>
    </xf>
    <xf numFmtId="0" fontId="5" fillId="0" borderId="20" xfId="2" applyFont="1" applyBorder="1" applyAlignment="1" applyProtection="1">
      <alignment horizontal="left" vertical="center"/>
      <protection locked="0"/>
    </xf>
    <xf numFmtId="0" fontId="5" fillId="0" borderId="12" xfId="2" applyFont="1" applyBorder="1" applyAlignment="1" applyProtection="1">
      <alignment horizontal="left" vertical="center"/>
      <protection locked="0"/>
    </xf>
    <xf numFmtId="0" fontId="5" fillId="0" borderId="21" xfId="2" applyFont="1" applyBorder="1" applyAlignment="1" applyProtection="1">
      <alignment horizontal="left" vertical="center"/>
      <protection locked="0"/>
    </xf>
    <xf numFmtId="0" fontId="28" fillId="0" borderId="0" xfId="2" applyFont="1" applyFill="1" applyAlignment="1" applyProtection="1">
      <alignment horizontal="left" vertical="top"/>
    </xf>
    <xf numFmtId="0" fontId="1" fillId="0" borderId="18" xfId="2" applyBorder="1" applyAlignment="1" applyProtection="1">
      <alignment horizontal="left" vertical="center"/>
    </xf>
    <xf numFmtId="0" fontId="1" fillId="0" borderId="12" xfId="2" applyBorder="1" applyAlignment="1" applyProtection="1">
      <alignment horizontal="center" vertical="center"/>
    </xf>
    <xf numFmtId="0" fontId="1" fillId="0" borderId="14" xfId="2" applyBorder="1" applyAlignment="1" applyProtection="1">
      <alignment horizontal="left" vertical="center"/>
    </xf>
    <xf numFmtId="0" fontId="1" fillId="0" borderId="0" xfId="2" applyBorder="1" applyAlignment="1" applyProtection="1">
      <alignment horizontal="left" vertical="center"/>
    </xf>
    <xf numFmtId="168" fontId="1" fillId="0" borderId="20" xfId="2" applyNumberFormat="1" applyBorder="1" applyAlignment="1" applyProtection="1">
      <alignment horizontal="center" vertical="center"/>
      <protection locked="0"/>
    </xf>
    <xf numFmtId="168" fontId="1" fillId="0" borderId="12" xfId="2" applyNumberFormat="1" applyBorder="1" applyAlignment="1" applyProtection="1">
      <alignment horizontal="center" vertical="center"/>
      <protection locked="0"/>
    </xf>
    <xf numFmtId="168" fontId="1" fillId="0" borderId="21" xfId="2" applyNumberFormat="1" applyBorder="1" applyAlignment="1" applyProtection="1">
      <alignment horizontal="center" vertical="center"/>
      <protection locked="0"/>
    </xf>
    <xf numFmtId="49" fontId="1" fillId="0" borderId="0" xfId="2" applyNumberFormat="1" applyAlignment="1">
      <alignment horizontal="center"/>
    </xf>
    <xf numFmtId="0" fontId="50" fillId="0" borderId="0" xfId="2" applyFont="1" applyAlignment="1" applyProtection="1">
      <alignment horizontal="center" vertical="top" wrapText="1"/>
    </xf>
    <xf numFmtId="0" fontId="5" fillId="0" borderId="20" xfId="2" applyFont="1" applyBorder="1" applyAlignment="1" applyProtection="1">
      <alignment horizontal="left" vertical="center"/>
    </xf>
    <xf numFmtId="0" fontId="5" fillId="0" borderId="12" xfId="2" applyFont="1" applyBorder="1" applyAlignment="1" applyProtection="1">
      <alignment horizontal="left" vertical="center"/>
    </xf>
    <xf numFmtId="0" fontId="5" fillId="0" borderId="21" xfId="2" applyFont="1" applyBorder="1" applyAlignment="1" applyProtection="1">
      <alignment horizontal="left" vertical="center"/>
    </xf>
    <xf numFmtId="14" fontId="14" fillId="0" borderId="20" xfId="2" applyNumberFormat="1" applyFont="1" applyBorder="1" applyAlignment="1" applyProtection="1">
      <alignment horizontal="center" vertical="top" wrapText="1"/>
      <protection locked="0"/>
    </xf>
    <xf numFmtId="14" fontId="14" fillId="0" borderId="12" xfId="2" applyNumberFormat="1" applyFont="1" applyBorder="1" applyAlignment="1" applyProtection="1">
      <alignment horizontal="center" vertical="top" wrapText="1"/>
      <protection locked="0"/>
    </xf>
    <xf numFmtId="14" fontId="14" fillId="0" borderId="21" xfId="2" applyNumberFormat="1" applyFont="1" applyBorder="1" applyAlignment="1" applyProtection="1">
      <alignment horizontal="center" vertical="top" wrapText="1"/>
      <protection locked="0"/>
    </xf>
    <xf numFmtId="164" fontId="14" fillId="0" borderId="20" xfId="2" applyNumberFormat="1" applyFont="1" applyBorder="1" applyAlignment="1" applyProtection="1">
      <alignment horizontal="center" vertical="top"/>
      <protection locked="0"/>
    </xf>
    <xf numFmtId="164" fontId="14" fillId="0" borderId="12" xfId="2" applyNumberFormat="1" applyFont="1" applyBorder="1" applyAlignment="1" applyProtection="1">
      <alignment horizontal="center" vertical="top"/>
      <protection locked="0"/>
    </xf>
    <xf numFmtId="164" fontId="14" fillId="0" borderId="21" xfId="2" applyNumberFormat="1" applyFont="1" applyBorder="1" applyAlignment="1" applyProtection="1">
      <alignment horizontal="center" vertical="top"/>
      <protection locked="0"/>
    </xf>
    <xf numFmtId="0" fontId="46" fillId="0" borderId="20" xfId="2" applyFont="1" applyBorder="1" applyAlignment="1" applyProtection="1">
      <alignment horizontal="center" vertical="center"/>
      <protection locked="0"/>
    </xf>
    <xf numFmtId="0" fontId="46" fillId="0" borderId="12" xfId="2" applyFont="1" applyBorder="1" applyAlignment="1" applyProtection="1">
      <alignment horizontal="center" vertical="center"/>
      <protection locked="0"/>
    </xf>
    <xf numFmtId="0" fontId="46" fillId="0" borderId="21" xfId="2" applyFont="1" applyBorder="1" applyAlignment="1" applyProtection="1">
      <alignment horizontal="center" vertical="center"/>
      <protection locked="0"/>
    </xf>
    <xf numFmtId="0" fontId="65" fillId="0" borderId="20" xfId="2" applyFont="1" applyFill="1" applyBorder="1" applyAlignment="1" applyProtection="1">
      <alignment horizontal="left" vertical="top" wrapText="1"/>
      <protection locked="0"/>
    </xf>
    <xf numFmtId="0" fontId="65" fillId="0" borderId="12" xfId="2" applyFont="1" applyFill="1" applyBorder="1" applyAlignment="1" applyProtection="1">
      <alignment horizontal="left" vertical="top" wrapText="1"/>
      <protection locked="0"/>
    </xf>
    <xf numFmtId="0" fontId="65" fillId="0" borderId="21" xfId="2" applyFont="1" applyFill="1" applyBorder="1" applyAlignment="1" applyProtection="1">
      <alignment horizontal="left" vertical="top" wrapText="1"/>
      <protection locked="0"/>
    </xf>
    <xf numFmtId="164" fontId="14" fillId="0" borderId="20" xfId="2" applyNumberFormat="1" applyFont="1" applyBorder="1" applyAlignment="1" applyProtection="1">
      <alignment horizontal="center" vertical="top" wrapText="1"/>
      <protection locked="0"/>
    </xf>
    <xf numFmtId="164" fontId="14" fillId="0" borderId="12" xfId="2" applyNumberFormat="1" applyFont="1" applyBorder="1" applyAlignment="1" applyProtection="1">
      <alignment horizontal="center" vertical="top" wrapText="1"/>
      <protection locked="0"/>
    </xf>
    <xf numFmtId="164" fontId="14" fillId="0" borderId="21" xfId="2" applyNumberFormat="1" applyFont="1" applyBorder="1" applyAlignment="1" applyProtection="1">
      <alignment horizontal="center" vertical="top" wrapText="1"/>
      <protection locked="0"/>
    </xf>
    <xf numFmtId="0" fontId="14" fillId="6" borderId="0" xfId="2" applyFont="1" applyFill="1" applyBorder="1" applyAlignment="1" applyProtection="1">
      <alignment horizontal="left" vertical="top" wrapText="1"/>
    </xf>
    <xf numFmtId="0" fontId="46" fillId="0" borderId="20" xfId="2" applyFont="1" applyBorder="1" applyAlignment="1" applyProtection="1">
      <alignment horizontal="center" vertical="top"/>
      <protection locked="0"/>
    </xf>
    <xf numFmtId="0" fontId="46" fillId="0" borderId="12" xfId="2" applyFont="1" applyBorder="1" applyAlignment="1" applyProtection="1">
      <alignment horizontal="center" vertical="top"/>
      <protection locked="0"/>
    </xf>
    <xf numFmtId="0" fontId="46" fillId="0" borderId="21" xfId="2" applyFont="1" applyBorder="1" applyAlignment="1" applyProtection="1">
      <alignment horizontal="center" vertical="top"/>
      <protection locked="0"/>
    </xf>
    <xf numFmtId="0" fontId="61" fillId="11" borderId="25" xfId="2" applyFont="1" applyFill="1" applyBorder="1" applyAlignment="1" applyProtection="1">
      <alignment horizontal="center" vertical="top"/>
    </xf>
    <xf numFmtId="0" fontId="61" fillId="11" borderId="18" xfId="2" applyFont="1" applyFill="1" applyBorder="1" applyAlignment="1" applyProtection="1">
      <alignment horizontal="center" vertical="top"/>
    </xf>
    <xf numFmtId="0" fontId="61" fillId="11" borderId="26" xfId="2" applyFont="1" applyFill="1" applyBorder="1" applyAlignment="1" applyProtection="1">
      <alignment horizontal="center" vertical="top"/>
    </xf>
    <xf numFmtId="0" fontId="1" fillId="0" borderId="20" xfId="2" applyBorder="1" applyAlignment="1" applyProtection="1">
      <alignment horizontal="left"/>
      <protection locked="0"/>
    </xf>
    <xf numFmtId="0" fontId="1" fillId="0" borderId="12" xfId="2" applyBorder="1" applyAlignment="1" applyProtection="1">
      <alignment horizontal="left"/>
      <protection locked="0"/>
    </xf>
    <xf numFmtId="0" fontId="1" fillId="0" borderId="21" xfId="2" applyBorder="1" applyAlignment="1" applyProtection="1">
      <alignment horizontal="left"/>
      <protection locked="0"/>
    </xf>
    <xf numFmtId="0" fontId="1" fillId="0" borderId="20" xfId="2" applyFont="1" applyBorder="1" applyAlignment="1" applyProtection="1">
      <alignment horizontal="center" vertical="center"/>
      <protection locked="0"/>
    </xf>
    <xf numFmtId="0" fontId="1" fillId="0" borderId="12" xfId="2" applyFont="1" applyBorder="1" applyAlignment="1" applyProtection="1">
      <alignment horizontal="center" vertical="center"/>
      <protection locked="0"/>
    </xf>
    <xf numFmtId="0" fontId="1" fillId="0" borderId="21" xfId="2" applyFont="1" applyBorder="1" applyAlignment="1" applyProtection="1">
      <alignment horizontal="center" vertical="center"/>
      <protection locked="0"/>
    </xf>
    <xf numFmtId="49" fontId="2" fillId="0" borderId="14" xfId="0" applyNumberFormat="1" applyFont="1" applyBorder="1" applyAlignment="1" applyProtection="1">
      <alignment horizontal="right"/>
      <protection locked="0"/>
    </xf>
    <xf numFmtId="0" fontId="2" fillId="0" borderId="14" xfId="0" applyNumberFormat="1" applyFont="1" applyBorder="1" applyAlignment="1" applyProtection="1">
      <alignment horizontal="right"/>
      <protection locked="0"/>
    </xf>
    <xf numFmtId="0" fontId="28" fillId="0" borderId="0" xfId="0" applyFont="1" applyFill="1" applyAlignment="1" applyProtection="1">
      <alignment horizontal="left" vertical="top"/>
    </xf>
    <xf numFmtId="0" fontId="20" fillId="0" borderId="13" xfId="0" applyFont="1" applyBorder="1" applyAlignment="1" applyProtection="1">
      <alignment horizontal="left" vertical="center"/>
      <protection locked="0"/>
    </xf>
    <xf numFmtId="0" fontId="0" fillId="0" borderId="0" xfId="0" applyAlignment="1">
      <alignment horizontal="left" vertical="top" wrapText="1"/>
    </xf>
    <xf numFmtId="0" fontId="14" fillId="0" borderId="2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21" xfId="0" applyFont="1" applyBorder="1" applyAlignment="1" applyProtection="1">
      <alignment horizontal="center" vertical="top"/>
    </xf>
    <xf numFmtId="0" fontId="14" fillId="0" borderId="20" xfId="0" applyFont="1" applyBorder="1" applyAlignment="1" applyProtection="1">
      <alignment horizontal="left" vertical="top" wrapText="1"/>
    </xf>
    <xf numFmtId="0" fontId="14" fillId="0" borderId="12" xfId="0" applyFont="1" applyBorder="1" applyAlignment="1" applyProtection="1">
      <alignment horizontal="left" vertical="top" wrapText="1"/>
    </xf>
    <xf numFmtId="0" fontId="14" fillId="0" borderId="21" xfId="0" applyFont="1" applyBorder="1" applyAlignment="1" applyProtection="1">
      <alignment horizontal="left" vertical="top" wrapText="1"/>
    </xf>
    <xf numFmtId="1" fontId="59" fillId="0" borderId="20" xfId="0" applyNumberFormat="1" applyFont="1" applyBorder="1" applyAlignment="1" applyProtection="1">
      <alignment horizontal="center" vertical="center"/>
    </xf>
    <xf numFmtId="1" fontId="59" fillId="0" borderId="21" xfId="0" applyNumberFormat="1" applyFont="1" applyBorder="1" applyAlignment="1" applyProtection="1">
      <alignment horizontal="center" vertical="center"/>
    </xf>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0" fontId="14" fillId="0" borderId="0" xfId="0" applyFont="1" applyAlignment="1" applyProtection="1">
      <alignment horizontal="left" wrapText="1"/>
    </xf>
    <xf numFmtId="49" fontId="14" fillId="0" borderId="0" xfId="0" applyNumberFormat="1" applyFont="1" applyBorder="1" applyAlignment="1" applyProtection="1">
      <alignment horizontal="left" vertical="top" wrapText="1"/>
    </xf>
    <xf numFmtId="0" fontId="14" fillId="0" borderId="0" xfId="0" applyFont="1" applyAlignment="1" applyProtection="1">
      <alignment horizontal="left" vertical="top" wrapText="1"/>
    </xf>
    <xf numFmtId="0" fontId="2" fillId="0" borderId="0" xfId="0" applyFont="1" applyAlignment="1" applyProtection="1">
      <alignment horizontal="left" vertical="top"/>
    </xf>
    <xf numFmtId="0" fontId="14" fillId="0" borderId="0" xfId="0" applyFont="1" applyAlignment="1" applyProtection="1">
      <alignment horizontal="left" vertical="top"/>
    </xf>
    <xf numFmtId="0" fontId="1" fillId="0" borderId="0" xfId="0" applyFont="1" applyAlignment="1" applyProtection="1">
      <alignment horizontal="left" vertical="top" wrapText="1"/>
    </xf>
    <xf numFmtId="0" fontId="8" fillId="0" borderId="0" xfId="0" applyFont="1" applyAlignment="1" applyProtection="1">
      <alignment horizontal="left" vertical="top" wrapText="1"/>
    </xf>
    <xf numFmtId="0" fontId="15" fillId="0" borderId="0" xfId="0" applyFont="1" applyAlignment="1" applyProtection="1">
      <alignment horizontal="left" vertical="top"/>
    </xf>
    <xf numFmtId="0" fontId="15" fillId="0" borderId="13" xfId="0" applyFont="1" applyBorder="1" applyAlignment="1" applyProtection="1">
      <alignment horizontal="left" vertical="top"/>
    </xf>
    <xf numFmtId="0" fontId="54" fillId="0" borderId="0" xfId="0" applyFont="1" applyAlignment="1" applyProtection="1">
      <alignment horizontal="left" vertical="top" wrapText="1"/>
      <protection locked="0"/>
    </xf>
    <xf numFmtId="0" fontId="14" fillId="0" borderId="0" xfId="0" applyFont="1" applyFill="1" applyAlignment="1" applyProtection="1">
      <alignment horizontal="left" vertical="top" wrapText="1"/>
    </xf>
    <xf numFmtId="0" fontId="2" fillId="0" borderId="0" xfId="0" applyFont="1" applyAlignment="1" applyProtection="1">
      <alignment horizontal="left" vertical="justify"/>
    </xf>
    <xf numFmtId="164" fontId="0" fillId="0" borderId="20" xfId="0" applyNumberFormat="1" applyBorder="1" applyAlignment="1" applyProtection="1">
      <alignment horizontal="center" vertical="center"/>
      <protection locked="0"/>
    </xf>
    <xf numFmtId="164" fontId="0" fillId="0" borderId="12" xfId="0" applyNumberFormat="1" applyBorder="1" applyAlignment="1" applyProtection="1">
      <alignment horizontal="center" vertical="center"/>
      <protection locked="0"/>
    </xf>
    <xf numFmtId="164" fontId="0" fillId="0" borderId="21" xfId="0" applyNumberFormat="1" applyBorder="1" applyAlignment="1" applyProtection="1">
      <alignment horizontal="center" vertical="center"/>
      <protection locked="0"/>
    </xf>
    <xf numFmtId="0" fontId="1" fillId="0" borderId="12" xfId="0" applyFont="1" applyBorder="1" applyAlignment="1" applyProtection="1">
      <alignment horizontal="left" vertical="center"/>
      <protection locked="0"/>
    </xf>
    <xf numFmtId="0" fontId="1" fillId="0" borderId="21" xfId="0" applyFont="1" applyBorder="1" applyAlignment="1" applyProtection="1">
      <alignment horizontal="left" vertical="center"/>
      <protection locked="0"/>
    </xf>
    <xf numFmtId="0" fontId="29" fillId="0" borderId="0" xfId="0" applyFont="1" applyAlignment="1" applyProtection="1">
      <alignment horizontal="center" wrapText="1"/>
    </xf>
    <xf numFmtId="0" fontId="68" fillId="3" borderId="22" xfId="0" applyFont="1" applyFill="1" applyBorder="1" applyAlignment="1">
      <alignment horizontal="center"/>
    </xf>
    <xf numFmtId="0" fontId="68" fillId="3" borderId="24" xfId="0" applyFont="1" applyFill="1" applyBorder="1" applyAlignment="1">
      <alignment horizontal="center"/>
    </xf>
    <xf numFmtId="0" fontId="7" fillId="0" borderId="0" xfId="0" quotePrefix="1" applyFont="1" applyAlignment="1" applyProtection="1">
      <alignment horizontal="center"/>
    </xf>
    <xf numFmtId="0" fontId="7" fillId="0" borderId="0" xfId="0" applyFont="1" applyAlignment="1" applyProtection="1">
      <alignment horizontal="center"/>
    </xf>
    <xf numFmtId="0" fontId="1" fillId="0" borderId="1" xfId="0" applyFont="1" applyBorder="1" applyAlignment="1" applyProtection="1">
      <alignment horizontal="center" vertical="center"/>
    </xf>
    <xf numFmtId="0" fontId="1" fillId="0" borderId="0" xfId="0" applyFont="1" applyBorder="1" applyAlignment="1" applyProtection="1">
      <alignment horizontal="center" vertical="center"/>
    </xf>
    <xf numFmtId="0" fontId="1" fillId="0" borderId="4" xfId="0" applyFont="1" applyBorder="1" applyAlignment="1" applyProtection="1">
      <alignment horizontal="center" vertical="center"/>
    </xf>
    <xf numFmtId="2" fontId="1" fillId="0" borderId="0" xfId="0" applyNumberFormat="1" applyFont="1" applyFill="1" applyBorder="1" applyAlignment="1" applyProtection="1">
      <alignment horizontal="center"/>
    </xf>
    <xf numFmtId="0" fontId="21" fillId="3" borderId="22" xfId="0" applyFont="1" applyFill="1" applyBorder="1" applyAlignment="1">
      <alignment horizontal="center"/>
    </xf>
    <xf numFmtId="0" fontId="21" fillId="3" borderId="24" xfId="0" applyFont="1" applyFill="1" applyBorder="1" applyAlignment="1">
      <alignment horizontal="center"/>
    </xf>
    <xf numFmtId="0" fontId="7" fillId="0" borderId="0" xfId="0" quotePrefix="1" applyFont="1" applyAlignment="1">
      <alignment horizontal="center"/>
    </xf>
    <xf numFmtId="0" fontId="7" fillId="0" borderId="0" xfId="0" applyFont="1" applyAlignment="1">
      <alignment horizontal="center"/>
    </xf>
    <xf numFmtId="0" fontId="1" fillId="0" borderId="1" xfId="0" applyFont="1" applyBorder="1" applyAlignment="1">
      <alignment horizontal="center" vertical="center"/>
    </xf>
    <xf numFmtId="0" fontId="1" fillId="0" borderId="0" xfId="0" applyFont="1" applyBorder="1" applyAlignment="1">
      <alignment horizontal="center" vertical="center"/>
    </xf>
    <xf numFmtId="0" fontId="1" fillId="0" borderId="4" xfId="0" applyFont="1" applyBorder="1" applyAlignment="1">
      <alignment horizontal="center" vertical="center"/>
    </xf>
    <xf numFmtId="0" fontId="21" fillId="3" borderId="23" xfId="0" applyFont="1" applyFill="1" applyBorder="1" applyAlignment="1">
      <alignment horizontal="center"/>
    </xf>
    <xf numFmtId="0" fontId="1" fillId="0" borderId="0" xfId="0" applyFont="1" applyFill="1" applyAlignment="1">
      <alignment horizontal="center"/>
    </xf>
    <xf numFmtId="0" fontId="1" fillId="0" borderId="30" xfId="0" applyFont="1" applyBorder="1" applyAlignment="1">
      <alignment horizontal="center" vertical="center"/>
    </xf>
    <xf numFmtId="0" fontId="1" fillId="0" borderId="30" xfId="2" applyFont="1" applyBorder="1" applyAlignment="1" applyProtection="1">
      <alignment horizontal="center" vertical="center"/>
    </xf>
    <xf numFmtId="0" fontId="1" fillId="0" borderId="0" xfId="2" applyFont="1" applyBorder="1" applyAlignment="1" applyProtection="1">
      <alignment horizontal="center" vertical="center"/>
    </xf>
    <xf numFmtId="0" fontId="1" fillId="0" borderId="4" xfId="2" applyFont="1" applyBorder="1" applyAlignment="1" applyProtection="1">
      <alignment horizontal="center" vertical="center"/>
    </xf>
  </cellXfs>
  <cellStyles count="3">
    <cellStyle name="Hyperlink" xfId="1" builtinId="8"/>
    <cellStyle name="Normal" xfId="0" builtinId="0"/>
    <cellStyle name="Normal 2" xfId="2"/>
  </cellStyles>
  <dxfs count="0"/>
  <tableStyles count="0" defaultTableStyle="TableStyleMedium9" defaultPivotStyle="PivotStyleLight16"/>
  <colors>
    <mruColors>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firstButton="1" fmlaLink="calculations!$B$3"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Radio" firstButton="1" fmlaLink="calculations!$G$20"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firstButton="1" fmlaLink="calculations!$G$2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calculations!$G$22"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Radio" firstButton="1" fmlaLink="calculations!$G$23"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firstButton="1" fmlaLink="calculations!$G$24"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calculations!$G$25"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firstButton="1" fmlaLink="calculations!$G$5"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calculations!$G$26" lockText="1"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firstButton="1" fmlaLink="calculations!$G$28"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calculations!$G$29" lockText="1"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fmlaLink="calculations!$G$6"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calculations!$G$30"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firstButton="1" fmlaLink="calculations!$G$31"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firstButton="1" fmlaLink="calculations!$G$32"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Radio" firstButton="1" fmlaLink="calculations!$G$43"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fmlaLink="calculations!$G$42"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fmlaLink="calculations!$G$41"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calculations!$G$40"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Radio" firstButton="1" fmlaLink="calculations!$G$35"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firstButton="1" fmlaLink="calculations!$G$34" lockText="1"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CheckBox" fmlaLink="calculations!$T$42" lockText="1" noThreeD="1"/>
</file>

<file path=xl/ctrlProps/ctrlProp226.xml><?xml version="1.0" encoding="utf-8"?>
<formControlPr xmlns="http://schemas.microsoft.com/office/spreadsheetml/2009/9/main" objectType="CheckBox" fmlaLink="calculations!$T$43" lockText="1" noThreeD="1"/>
</file>

<file path=xl/ctrlProps/ctrlProp227.xml><?xml version="1.0" encoding="utf-8"?>
<formControlPr xmlns="http://schemas.microsoft.com/office/spreadsheetml/2009/9/main" objectType="CheckBox" fmlaLink="calculations!$T$46" lockText="1" noThreeD="1"/>
</file>

<file path=xl/ctrlProps/ctrlProp228.xml><?xml version="1.0" encoding="utf-8"?>
<formControlPr xmlns="http://schemas.microsoft.com/office/spreadsheetml/2009/9/main" objectType="CheckBox" fmlaLink="calculations!$T$44" lockText="1" noThreeD="1"/>
</file>

<file path=xl/ctrlProps/ctrlProp229.xml><?xml version="1.0" encoding="utf-8"?>
<formControlPr xmlns="http://schemas.microsoft.com/office/spreadsheetml/2009/9/main" objectType="CheckBox" fmlaLink="calculations!$T$45" lockText="1" noThreeD="1"/>
</file>

<file path=xl/ctrlProps/ctrlProp23.xml><?xml version="1.0" encoding="utf-8"?>
<formControlPr xmlns="http://schemas.microsoft.com/office/spreadsheetml/2009/9/main" objectType="Radio" firstButton="1" fmlaLink="calculations!$G$7" lockText="1" noThreeD="1"/>
</file>

<file path=xl/ctrlProps/ctrlProp230.xml><?xml version="1.0" encoding="utf-8"?>
<formControlPr xmlns="http://schemas.microsoft.com/office/spreadsheetml/2009/9/main" objectType="CheckBox" fmlaLink="calculations!$T$47"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CheckBox" fmlaLink="calculations!$M$36" lockText="1" noThreeD="1"/>
</file>

<file path=xl/ctrlProps/ctrlProp242.xml><?xml version="1.0" encoding="utf-8"?>
<formControlPr xmlns="http://schemas.microsoft.com/office/spreadsheetml/2009/9/main" objectType="CheckBox" fmlaLink="calculations!$T$48"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firstButton="1" fmlaLink="calculations!$G$44"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CheckBox" fmlaLink="calculations!$X$14" lockText="1" noThreeD="1"/>
</file>

<file path=xl/ctrlProps/ctrlProp255.xml><?xml version="1.0" encoding="utf-8"?>
<formControlPr xmlns="http://schemas.microsoft.com/office/spreadsheetml/2009/9/main" objectType="CheckBox" fmlaLink="calculations!$X$15" lockText="1" noThreeD="1"/>
</file>

<file path=xl/ctrlProps/ctrlProp256.xml><?xml version="1.0" encoding="utf-8"?>
<formControlPr xmlns="http://schemas.microsoft.com/office/spreadsheetml/2009/9/main" objectType="CheckBox" fmlaLink="calculations!$X$16" lockText="1" noThreeD="1"/>
</file>

<file path=xl/ctrlProps/ctrlProp257.xml><?xml version="1.0" encoding="utf-8"?>
<formControlPr xmlns="http://schemas.microsoft.com/office/spreadsheetml/2009/9/main" objectType="CheckBox" fmlaLink="calculations!$X$17" lockText="1" noThreeD="1"/>
</file>

<file path=xl/ctrlProps/ctrlProp258.xml><?xml version="1.0" encoding="utf-8"?>
<formControlPr xmlns="http://schemas.microsoft.com/office/spreadsheetml/2009/9/main" objectType="CheckBox" fmlaLink="calculations!$X$18" lockText="1" noThreeD="1"/>
</file>

<file path=xl/ctrlProps/ctrlProp259.xml><?xml version="1.0" encoding="utf-8"?>
<formControlPr xmlns="http://schemas.microsoft.com/office/spreadsheetml/2009/9/main" objectType="CheckBox" fmlaLink="calculations!$X$19"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CheckBox" fmlaLink="calculations!$X$20"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fmlaLink="calculations!$AA$162" noThreeD="1"/>
</file>

<file path=xl/ctrlProps/ctrlProp266.xml><?xml version="1.0" encoding="utf-8"?>
<formControlPr xmlns="http://schemas.microsoft.com/office/spreadsheetml/2009/9/main" objectType="CheckBox" fmlaLink="calculations!$AA$151" lockText="1" noThreeD="1"/>
</file>

<file path=xl/ctrlProps/ctrlProp267.xml><?xml version="1.0" encoding="utf-8"?>
<formControlPr xmlns="http://schemas.microsoft.com/office/spreadsheetml/2009/9/main" objectType="CheckBox" fmlaLink="calculations!$AA$152" lockText="1" noThreeD="1"/>
</file>

<file path=xl/ctrlProps/ctrlProp268.xml><?xml version="1.0" encoding="utf-8"?>
<formControlPr xmlns="http://schemas.microsoft.com/office/spreadsheetml/2009/9/main" objectType="CheckBox" fmlaLink="calculations!$AA$150" lockText="1" noThreeD="1"/>
</file>

<file path=xl/ctrlProps/ctrlProp269.xml><?xml version="1.0" encoding="utf-8"?>
<formControlPr xmlns="http://schemas.microsoft.com/office/spreadsheetml/2009/9/main" objectType="CheckBox" fmlaLink="calculations!$AA$154"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fmlaLink="calculations!$AA$157" lockText="1" noThreeD="1"/>
</file>

<file path=xl/ctrlProps/ctrlProp271.xml><?xml version="1.0" encoding="utf-8"?>
<formControlPr xmlns="http://schemas.microsoft.com/office/spreadsheetml/2009/9/main" objectType="CheckBox" fmlaLink="calculations!$AA$156" lockText="1" noThreeD="1"/>
</file>

<file path=xl/ctrlProps/ctrlProp272.xml><?xml version="1.0" encoding="utf-8"?>
<formControlPr xmlns="http://schemas.microsoft.com/office/spreadsheetml/2009/9/main" objectType="CheckBox" fmlaLink="calculations!$AA$158" lockText="1" noThreeD="1"/>
</file>

<file path=xl/ctrlProps/ctrlProp273.xml><?xml version="1.0" encoding="utf-8"?>
<formControlPr xmlns="http://schemas.microsoft.com/office/spreadsheetml/2009/9/main" objectType="CheckBox" fmlaLink="calculations!$AA$159" lockText="1" noThreeD="1"/>
</file>

<file path=xl/ctrlProps/ctrlProp274.xml><?xml version="1.0" encoding="utf-8"?>
<formControlPr xmlns="http://schemas.microsoft.com/office/spreadsheetml/2009/9/main" objectType="CheckBox" fmlaLink="calculations!$AA$160" lockText="1" noThreeD="1"/>
</file>

<file path=xl/ctrlProps/ctrlProp275.xml><?xml version="1.0" encoding="utf-8"?>
<formControlPr xmlns="http://schemas.microsoft.com/office/spreadsheetml/2009/9/main" objectType="CheckBox" fmlaLink="calculations!$AA$188" lockText="1" noThreeD="1"/>
</file>

<file path=xl/ctrlProps/ctrlProp276.xml><?xml version="1.0" encoding="utf-8"?>
<formControlPr xmlns="http://schemas.microsoft.com/office/spreadsheetml/2009/9/main" objectType="CheckBox" fmlaLink="calculations!$AA$189" lockText="1" noThreeD="1"/>
</file>

<file path=xl/ctrlProps/ctrlProp277.xml><?xml version="1.0" encoding="utf-8"?>
<formControlPr xmlns="http://schemas.microsoft.com/office/spreadsheetml/2009/9/main" objectType="CheckBox" fmlaLink="calculations!$AA$190" lockText="1" noThreeD="1"/>
</file>

<file path=xl/ctrlProps/ctrlProp278.xml><?xml version="1.0" encoding="utf-8"?>
<formControlPr xmlns="http://schemas.microsoft.com/office/spreadsheetml/2009/9/main" objectType="CheckBox" fmlaLink="calculations!$AA$191" lockText="1" noThreeD="1"/>
</file>

<file path=xl/ctrlProps/ctrlProp279.xml><?xml version="1.0" encoding="utf-8"?>
<formControlPr xmlns="http://schemas.microsoft.com/office/spreadsheetml/2009/9/main" objectType="CheckBox" fmlaLink="calculations!$AA$193"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CheckBox" fmlaLink="calculations!$AA$200" lockText="1" noThreeD="1"/>
</file>

<file path=xl/ctrlProps/ctrlProp281.xml><?xml version="1.0" encoding="utf-8"?>
<formControlPr xmlns="http://schemas.microsoft.com/office/spreadsheetml/2009/9/main" objectType="CheckBox" fmlaLink="calculations!$AA$201" lockText="1" noThreeD="1"/>
</file>

<file path=xl/ctrlProps/ctrlProp282.xml><?xml version="1.0" encoding="utf-8"?>
<formControlPr xmlns="http://schemas.microsoft.com/office/spreadsheetml/2009/9/main" objectType="CheckBox" fmlaLink="calculations!$AA$199" lockText="1" noThreeD="1"/>
</file>

<file path=xl/ctrlProps/ctrlProp283.xml><?xml version="1.0" encoding="utf-8"?>
<formControlPr xmlns="http://schemas.microsoft.com/office/spreadsheetml/2009/9/main" objectType="CheckBox" fmlaLink="calculations!$AA$202" lockText="1" noThreeD="1"/>
</file>

<file path=xl/ctrlProps/ctrlProp284.xml><?xml version="1.0" encoding="utf-8"?>
<formControlPr xmlns="http://schemas.microsoft.com/office/spreadsheetml/2009/9/main" objectType="CheckBox" fmlaLink="calculations!$AA$198" lockText="1" noThreeD="1"/>
</file>

<file path=xl/ctrlProps/ctrlProp285.xml><?xml version="1.0" encoding="utf-8"?>
<formControlPr xmlns="http://schemas.microsoft.com/office/spreadsheetml/2009/9/main" objectType="CheckBox" fmlaLink="calculations!$AA$192" lockText="1" noThreeD="1"/>
</file>

<file path=xl/ctrlProps/ctrlProp286.xml><?xml version="1.0" encoding="utf-8"?>
<formControlPr xmlns="http://schemas.microsoft.com/office/spreadsheetml/2009/9/main" objectType="CheckBox" fmlaLink="calculations!AA207" lockText="1" noThreeD="1"/>
</file>

<file path=xl/ctrlProps/ctrlProp287.xml><?xml version="1.0" encoding="utf-8"?>
<formControlPr xmlns="http://schemas.microsoft.com/office/spreadsheetml/2009/9/main" objectType="CheckBox" fmlaLink="calculations!AA208" lockText="1" noThreeD="1"/>
</file>

<file path=xl/ctrlProps/ctrlProp288.xml><?xml version="1.0" encoding="utf-8"?>
<formControlPr xmlns="http://schemas.microsoft.com/office/spreadsheetml/2009/9/main" objectType="CheckBox" fmlaLink="calculations!AA209" lockText="1" noThreeD="1"/>
</file>

<file path=xl/ctrlProps/ctrlProp289.xml><?xml version="1.0" encoding="utf-8"?>
<formControlPr xmlns="http://schemas.microsoft.com/office/spreadsheetml/2009/9/main" objectType="CheckBox" fmlaLink="calculations!AA206" lockText="1" noThreeD="1"/>
</file>

<file path=xl/ctrlProps/ctrlProp29.xml><?xml version="1.0" encoding="utf-8"?>
<formControlPr xmlns="http://schemas.microsoft.com/office/spreadsheetml/2009/9/main" objectType="Radio" firstButton="1" fmlaLink="calculations!$G$8" lockText="1" noThreeD="1"/>
</file>

<file path=xl/ctrlProps/ctrlProp290.xml><?xml version="1.0" encoding="utf-8"?>
<formControlPr xmlns="http://schemas.microsoft.com/office/spreadsheetml/2009/9/main" objectType="CheckBox" fmlaLink="calculations!$AA210" lockText="1" noThreeD="1"/>
</file>

<file path=xl/ctrlProps/ctrlProp291.xml><?xml version="1.0" encoding="utf-8"?>
<formControlPr xmlns="http://schemas.microsoft.com/office/spreadsheetml/2009/9/main" objectType="CheckBox" fmlaLink="calculations!$AA211" lockText="1" noThreeD="1"/>
</file>

<file path=xl/ctrlProps/ctrlProp292.xml><?xml version="1.0" encoding="utf-8"?>
<formControlPr xmlns="http://schemas.microsoft.com/office/spreadsheetml/2009/9/main" objectType="CheckBox" fmlaLink="calculations!AA216" lockText="1" noThreeD="1"/>
</file>

<file path=xl/ctrlProps/ctrlProp293.xml><?xml version="1.0" encoding="utf-8"?>
<formControlPr xmlns="http://schemas.microsoft.com/office/spreadsheetml/2009/9/main" objectType="CheckBox" fmlaLink="calculations!AA217" lockText="1" noThreeD="1"/>
</file>

<file path=xl/ctrlProps/ctrlProp294.xml><?xml version="1.0" encoding="utf-8"?>
<formControlPr xmlns="http://schemas.microsoft.com/office/spreadsheetml/2009/9/main" objectType="CheckBox" fmlaLink="calculations!AA218" lockText="1" noThreeD="1"/>
</file>

<file path=xl/ctrlProps/ctrlProp295.xml><?xml version="1.0" encoding="utf-8"?>
<formControlPr xmlns="http://schemas.microsoft.com/office/spreadsheetml/2009/9/main" objectType="CheckBox" fmlaLink="calculations!$AA$215" lockText="1" noThreeD="1"/>
</file>

<file path=xl/ctrlProps/ctrlProp296.xml><?xml version="1.0" encoding="utf-8"?>
<formControlPr xmlns="http://schemas.microsoft.com/office/spreadsheetml/2009/9/main" objectType="CheckBox" fmlaLink="calculations!$AA219" lockText="1" noThreeD="1"/>
</file>

<file path=xl/ctrlProps/ctrlProp297.xml><?xml version="1.0" encoding="utf-8"?>
<formControlPr xmlns="http://schemas.microsoft.com/office/spreadsheetml/2009/9/main" objectType="CheckBox" fmlaLink="calculations!AA225" lockText="1" noThreeD="1"/>
</file>

<file path=xl/ctrlProps/ctrlProp298.xml><?xml version="1.0" encoding="utf-8"?>
<formControlPr xmlns="http://schemas.microsoft.com/office/spreadsheetml/2009/9/main" objectType="CheckBox" fmlaLink="calculations!AA226" lockText="1" noThreeD="1"/>
</file>

<file path=xl/ctrlProps/ctrlProp299.xml><?xml version="1.0" encoding="utf-8"?>
<formControlPr xmlns="http://schemas.microsoft.com/office/spreadsheetml/2009/9/main" objectType="CheckBox" fmlaLink="calculations!AA227"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CheckBox" fmlaLink="calculations!AA224" lockText="1" noThreeD="1"/>
</file>

<file path=xl/ctrlProps/ctrlProp301.xml><?xml version="1.0" encoding="utf-8"?>
<formControlPr xmlns="http://schemas.microsoft.com/office/spreadsheetml/2009/9/main" objectType="CheckBox" fmlaLink="calculations!$AA228" lockText="1" noThreeD="1"/>
</file>

<file path=xl/ctrlProps/ctrlProp302.xml><?xml version="1.0" encoding="utf-8"?>
<formControlPr xmlns="http://schemas.microsoft.com/office/spreadsheetml/2009/9/main" objectType="CheckBox" fmlaLink="calculations!$AA229" lockText="1" noThreeD="1"/>
</file>

<file path=xl/ctrlProps/ctrlProp303.xml><?xml version="1.0" encoding="utf-8"?>
<formControlPr xmlns="http://schemas.microsoft.com/office/spreadsheetml/2009/9/main" objectType="CheckBox" fmlaLink="calculations!$AA230" lockText="1" noThreeD="1"/>
</file>

<file path=xl/ctrlProps/ctrlProp304.xml><?xml version="1.0" encoding="utf-8"?>
<formControlPr xmlns="http://schemas.microsoft.com/office/spreadsheetml/2009/9/main" objectType="CheckBox" fmlaLink="calculations!$AA$237" lockText="1" noThreeD="1"/>
</file>

<file path=xl/ctrlProps/ctrlProp305.xml><?xml version="1.0" encoding="utf-8"?>
<formControlPr xmlns="http://schemas.microsoft.com/office/spreadsheetml/2009/9/main" objectType="CheckBox" fmlaLink="calculations!$AB$236" lockText="1" noThreeD="1"/>
</file>

<file path=xl/ctrlProps/ctrlProp306.xml><?xml version="1.0" encoding="utf-8"?>
<formControlPr xmlns="http://schemas.microsoft.com/office/spreadsheetml/2009/9/main" objectType="CheckBox" fmlaLink="calculations!$AA$243" lockText="1" noThreeD="1"/>
</file>

<file path=xl/ctrlProps/ctrlProp307.xml><?xml version="1.0" encoding="utf-8"?>
<formControlPr xmlns="http://schemas.microsoft.com/office/spreadsheetml/2009/9/main" objectType="CheckBox" fmlaLink="calculations!$AB$253" noThreeD="1"/>
</file>

<file path=xl/ctrlProps/ctrlProp308.xml><?xml version="1.0" encoding="utf-8"?>
<formControlPr xmlns="http://schemas.microsoft.com/office/spreadsheetml/2009/9/main" objectType="Radio" firstButton="1" fmlaLink="calculations!$AA$164"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firstButton="1" fmlaLink="calculations!$AA$163"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firstButton="1" fmlaLink="calculations!$AA$165"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firstButton="1" fmlaLink="calculations!$AA$166"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firstButton="1" fmlaLink="calculations!$AA$167"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firstButton="1" fmlaLink="calculations!$AA$169"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firstButton="1" fmlaLink="calculations!$AA$168" lockText="1" noThreeD="1"/>
</file>

<file path=xl/ctrlProps/ctrlProp33.xml><?xml version="1.0" encoding="utf-8"?>
<formControlPr xmlns="http://schemas.microsoft.com/office/spreadsheetml/2009/9/main" objectType="Radio" firstButton="1" fmlaLink="calculations!$G$9"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calculations!$AA$170"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Radio" firstButton="1" fmlaLink="calculations!$AA$171"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firstButton="1" fmlaLink="calculations!$AA$172"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firstButton="1" fmlaLink="calculations!$AA$17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Radio" firstButton="1" fmlaLink="calculations!$AA$174"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firstButton="1" fmlaLink="calculations!$AA$175"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firstButton="1" fmlaLink="calculations!$AA$176"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firstButton="1" fmlaLink="calculations!$AA$177"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firstButton="1" fmlaLink="calculations!$AA$178"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Radio" firstButton="1" fmlaLink="calculations!$AA$179"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firstButton="1" fmlaLink="calculations!$AA$180"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firstButton="1" fmlaLink="calculations!$AA$181"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firstButton="1" fmlaLink="calculations!$AA$182"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firstButton="1" fmlaLink="calculations!$AA$183"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firstButton="1" fmlaLink="calculations!$AA$184"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firstButton="1" fmlaLink="calculations!$AA$185" lockText="1"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Radio" firstButton="1" fmlaLink="calculations!$AA$194"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firstButton="1" fmlaLink="calculations!$AA$195"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firstButton="1" fmlaLink="calculations!$AA$196"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Radio" firstButton="1" fmlaLink="calculations!$AA$203"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CheckBox" fmlaLink="calculations!$AA$153" lockText="1" noThreeD="1"/>
</file>

<file path=xl/ctrlProps/ctrlProp397.xml><?xml version="1.0" encoding="utf-8"?>
<formControlPr xmlns="http://schemas.microsoft.com/office/spreadsheetml/2009/9/main" objectType="Radio" firstButton="1" fmlaLink="calculations!$AA$231"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firstButton="1" fmlaLink="calculations!$AA$232"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Radio" firstButton="1" fmlaLink="calculations!$G$11"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firstButton="1" fmlaLink="calculations!$AA$233"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firstButton="1" fmlaLink="calculations!$AA$239"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firstButton="1" fmlaLink="calculations!$AA$240"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Radio" firstButton="1" fmlaLink="calculations!$AA$256"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firstButton="1" fmlaLink="calculations!$AA$258"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firstButton="1" fmlaLink="calculations!$AA$257"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firstButton="1" fmlaLink="calculations!$AA$259"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Radio" firstButton="1" fmlaLink="calculations!$AA$262" lockText="1"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firstButton="1" fmlaLink="calculations!$AA$263"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firstButton="1" fmlaLink="calculations!$AA$264"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calculations!$AA$265"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calculations!$AA$266"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firstButton="1" fmlaLink="calculations!$AA$267"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Radio" firstButton="1" fmlaLink="calculations!$AA$268"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firstButton="1" fmlaLink="calculations!$AA$269"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Radio" firstButton="1" fmlaLink="calculations!$G$178" lockText="1"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firstButton="1" fmlaLink="calculations!$G$179" lockText="1" noThreeD="1"/>
</file>

<file path=xl/ctrlProps/ctrlProp465.xml><?xml version="1.0" encoding="utf-8"?>
<formControlPr xmlns="http://schemas.microsoft.com/office/spreadsheetml/2009/9/main" objectType="Radio" lockText="1" noThreeD="1"/>
</file>

<file path=xl/ctrlProps/ctrlProp466.xml><?xml version="1.0" encoding="utf-8"?>
<formControlPr xmlns="http://schemas.microsoft.com/office/spreadsheetml/2009/9/main" objectType="Radio" lockText="1" noThreeD="1"/>
</file>

<file path=xl/ctrlProps/ctrlProp467.xml><?xml version="1.0" encoding="utf-8"?>
<formControlPr xmlns="http://schemas.microsoft.com/office/spreadsheetml/2009/9/main" objectType="Radio"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Radio" firstButton="1" fmlaLink="calculations!$G$180" lockText="1" noThreeD="1"/>
</file>

<file path=xl/ctrlProps/ctrlProp47.xml><?xml version="1.0" encoding="utf-8"?>
<formControlPr xmlns="http://schemas.microsoft.com/office/spreadsheetml/2009/9/main" objectType="Radio" firstButton="1" fmlaLink="calculations!$G$12" lockText="1" noThreeD="1"/>
</file>

<file path=xl/ctrlProps/ctrlProp470.xml><?xml version="1.0" encoding="utf-8"?>
<formControlPr xmlns="http://schemas.microsoft.com/office/spreadsheetml/2009/9/main" objectType="Radio" lockText="1" noThreeD="1"/>
</file>

<file path=xl/ctrlProps/ctrlProp471.xml><?xml version="1.0" encoding="utf-8"?>
<formControlPr xmlns="http://schemas.microsoft.com/office/spreadsheetml/2009/9/main" objectType="Radio"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Radio" lockText="1" noThreeD="1"/>
</file>

<file path=xl/ctrlProps/ctrlProp474.xml><?xml version="1.0" encoding="utf-8"?>
<formControlPr xmlns="http://schemas.microsoft.com/office/spreadsheetml/2009/9/main" objectType="Radio" firstButton="1" fmlaLink="calculations!$G$181"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calculations!$G$182"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Radio" firstButton="1" fmlaLink="calculations!$G$167"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firstButton="1" fmlaLink="calculations!$G$189"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firstButton="1" fmlaLink="calculations!$G$188"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firstButton="1" fmlaLink="calculations!$G$168"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Radio" firstButton="1" fmlaLink="calculations!$G$169"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firstButton="1" fmlaLink="calculations!$G$170"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Radio" lockText="1" noThreeD="1"/>
</file>

<file path=xl/ctrlProps/ctrlProp512.xml><?xml version="1.0" encoding="utf-8"?>
<formControlPr xmlns="http://schemas.microsoft.com/office/spreadsheetml/2009/9/main" objectType="Radio"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firstButton="1" fmlaLink="calculations!$G$194"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Radio" lockText="1" noThreeD="1"/>
</file>

<file path=xl/ctrlProps/ctrlProp517.xml><?xml version="1.0" encoding="utf-8"?>
<formControlPr xmlns="http://schemas.microsoft.com/office/spreadsheetml/2009/9/main" objectType="Radio"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firstButton="1" fmlaLink="calculations!$G$190"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calculations!$G$187"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firstButton="1" fmlaLink="calculations!$G$183"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firstButton="1" fmlaLink="calculations!$G$19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firstButton="1" fmlaLink="calculations!$G$13"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CheckBox" fmlaLink="calculations!$F$197" lockText="1" noThreeD="1"/>
</file>

<file path=xl/ctrlProps/ctrlProp545.xml><?xml version="1.0" encoding="utf-8"?>
<formControlPr xmlns="http://schemas.microsoft.com/office/spreadsheetml/2009/9/main" objectType="Radio" firstButton="1" fmlaLink="calculations!$AA$234"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Radio" firstButton="1" fmlaLink="calculations!$AA$241"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Radio" firstButton="1" fmlaLink="calculations!$G$166"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Radio" lockText="1"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Radio" firstButton="1" fmlaLink="calculations!$G$186"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Radio"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CheckBox" fmlaLink="calculations!$AA$238" lockText="1"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Radio" firstButton="1" fmlaLink="calculations!$G$73"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Radio" firstButton="1" fmlaLink="calculations!$G$74"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Radio" firstButton="1" fmlaLink="calculations!$G$75"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calculations!$B$26"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fmlaLink="calculations!$G$76"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calculations!$G$10" lockText="1" noThreeD="1"/>
</file>

<file path=xl/ctrlProps/ctrlProp610.xml><?xml version="1.0" encoding="utf-8"?>
<formControlPr xmlns="http://schemas.microsoft.com/office/spreadsheetml/2009/9/main" objectType="Radio" firstButton="1" fmlaLink="calculations!$G$77"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Radio" firstButton="1" fmlaLink="calculations!$G$78"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Radio" firstButton="1" fmlaLink="calculations!$G$81"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firstButton="1" fmlaLink="calculations!$G$82"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calculations!$G$83"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Radio" firstButton="1" fmlaLink="calculations!$G$84"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calculations!$G$85"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fmlaLink="calculations!$G$88" lockText="1" noThreeD="1"/>
</file>

<file path=xl/ctrlProps/ctrlProp654.xml><?xml version="1.0" encoding="utf-8"?>
<formControlPr xmlns="http://schemas.microsoft.com/office/spreadsheetml/2009/9/main" objectType="Radio" lockText="1" noThreeD="1"/>
</file>

<file path=xl/ctrlProps/ctrlProp655.xml><?xml version="1.0" encoding="utf-8"?>
<formControlPr xmlns="http://schemas.microsoft.com/office/spreadsheetml/2009/9/main" objectType="Radio"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fmlaLink="calculations!$G$89"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Radio" firstButton="1" fmlaLink="calculations!$G$90"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firstButton="1" fmlaLink="calculations!$G$91" lockText="1" noThreeD="1"/>
</file>

<file path=xl/ctrlProps/ctrlProp672.xml><?xml version="1.0" encoding="utf-8"?>
<formControlPr xmlns="http://schemas.microsoft.com/office/spreadsheetml/2009/9/main" objectType="Radio"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fmlaLink="calculations!$R$81"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firstButton="1" fmlaLink="calculations!$G$15"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fmlaLink="calculations!$R$82" lockText="1" noThreeD="1"/>
</file>

<file path=xl/ctrlProps/ctrlProp682.xml><?xml version="1.0" encoding="utf-8"?>
<formControlPr xmlns="http://schemas.microsoft.com/office/spreadsheetml/2009/9/main" objectType="Radio" lockText="1" noThreeD="1"/>
</file>

<file path=xl/ctrlProps/ctrlProp683.xml><?xml version="1.0" encoding="utf-8"?>
<formControlPr xmlns="http://schemas.microsoft.com/office/spreadsheetml/2009/9/main" objectType="Radio" lockText="1"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Radio" firstButton="1" fmlaLink="calculations!$R$80" lockText="1" noThreeD="1"/>
</file>

<file path=xl/ctrlProps/ctrlProp686.xml><?xml version="1.0" encoding="utf-8"?>
<formControlPr xmlns="http://schemas.microsoft.com/office/spreadsheetml/2009/9/main" objectType="Radio" lockText="1" noThreeD="1"/>
</file>

<file path=xl/ctrlProps/ctrlProp687.xml><?xml version="1.0" encoding="utf-8"?>
<formControlPr xmlns="http://schemas.microsoft.com/office/spreadsheetml/2009/9/main" objectType="Radio" lockText="1"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Radio" firstButton="1" fmlaLink="calculations!$R$85" lockText="1" noThreeD="1"/>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Radio" lockText="1" noThreeD="1"/>
</file>

<file path=xl/ctrlProps/ctrlProp691.xml><?xml version="1.0" encoding="utf-8"?>
<formControlPr xmlns="http://schemas.microsoft.com/office/spreadsheetml/2009/9/main" objectType="Radio" lockText="1"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Radio" firstButton="1" fmlaLink="calculations!$R$86"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Radio" lockText="1"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Radio" firstButton="1" fmlaLink="calculations!$R$83" lockText="1" noThreeD="1"/>
</file>

<file path=xl/ctrlProps/ctrlProp698.xml><?xml version="1.0" encoding="utf-8"?>
<formControlPr xmlns="http://schemas.microsoft.com/office/spreadsheetml/2009/9/main" objectType="Radio" lockText="1" noThreeD="1"/>
</file>

<file path=xl/ctrlProps/ctrlProp69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fmlaLink="calculations!$R$84" lockText="1" noThreeD="1"/>
</file>

<file path=xl/ctrlProps/ctrlProp702.xml><?xml version="1.0" encoding="utf-8"?>
<formControlPr xmlns="http://schemas.microsoft.com/office/spreadsheetml/2009/9/main" objectType="Radio"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Radio" firstButton="1" fmlaLink="calculations!$R$74" lockText="1" noThreeD="1"/>
</file>

<file path=xl/ctrlProps/ctrlProp706.xml><?xml version="1.0" encoding="utf-8"?>
<formControlPr xmlns="http://schemas.microsoft.com/office/spreadsheetml/2009/9/main" objectType="Radio" lockText="1" noThreeD="1"/>
</file>

<file path=xl/ctrlProps/ctrlProp707.xml><?xml version="1.0" encoding="utf-8"?>
<formControlPr xmlns="http://schemas.microsoft.com/office/spreadsheetml/2009/9/main" objectType="Radio" lockText="1"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Radio" firstButton="1" fmlaLink="calculations!$R$75" lockText="1" noThreeD="1"/>
</file>

<file path=xl/ctrlProps/ctrlProp71.xml><?xml version="1.0" encoding="utf-8"?>
<formControlPr xmlns="http://schemas.microsoft.com/office/spreadsheetml/2009/9/main" objectType="Radio" lockText="1"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Radio" lockText="1"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fmlaLink="calculations!$R$72" lockText="1" noThreeD="1"/>
</file>

<file path=xl/ctrlProps/ctrlProp714.xml><?xml version="1.0" encoding="utf-8"?>
<formControlPr xmlns="http://schemas.microsoft.com/office/spreadsheetml/2009/9/main" objectType="Radio" lockText="1" noThreeD="1"/>
</file>

<file path=xl/ctrlProps/ctrlProp715.xml><?xml version="1.0" encoding="utf-8"?>
<formControlPr xmlns="http://schemas.microsoft.com/office/spreadsheetml/2009/9/main" objectType="Radio" lockText="1"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Radio" firstButton="1" fmlaLink="calculations!$R$73"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Radio" firstButton="1" fmlaLink="calculations!$R$77"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fmlaLink="calculations!$R$76" lockText="1" noThreeD="1"/>
</file>

<file path=xl/ctrlProps/ctrlProp726.xml><?xml version="1.0" encoding="utf-8"?>
<formControlPr xmlns="http://schemas.microsoft.com/office/spreadsheetml/2009/9/main" objectType="Radio" lockText="1" noThreeD="1"/>
</file>

<file path=xl/ctrlProps/ctrlProp727.xml><?xml version="1.0" encoding="utf-8"?>
<formControlPr xmlns="http://schemas.microsoft.com/office/spreadsheetml/2009/9/main" objectType="Radio" lockText="1"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firstButton="1" fmlaLink="calculations!$R$78" lockText="1" noThreeD="1"/>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lockText="1"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Radio" firstButton="1" fmlaLink="calculations!$R$67" lockText="1" noThreeD="1"/>
</file>

<file path=xl/ctrlProps/ctrlProp734.xml><?xml version="1.0" encoding="utf-8"?>
<formControlPr xmlns="http://schemas.microsoft.com/office/spreadsheetml/2009/9/main" objectType="Radio" lockText="1"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Radio" firstButton="1" fmlaLink="calculations!$R$68"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Radio" firstButton="1" fmlaLink="calculations!$R$65"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Radio" firstButton="1" fmlaLink="calculations!$R$66"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Radio" firstButton="1" fmlaLink="calculations!$R$70" lockText="1" noThreeD="1"/>
</file>

<file path=xl/ctrlProps/ctrlProp747.xml><?xml version="1.0" encoding="utf-8"?>
<formControlPr xmlns="http://schemas.microsoft.com/office/spreadsheetml/2009/9/main" objectType="Radio" lockText="1" noThreeD="1"/>
</file>

<file path=xl/ctrlProps/ctrlProp748.xml><?xml version="1.0" encoding="utf-8"?>
<formControlPr xmlns="http://schemas.microsoft.com/office/spreadsheetml/2009/9/main" objectType="Radio" lockText="1"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calculations!$G$16" lockText="1" noThreeD="1"/>
</file>

<file path=xl/ctrlProps/ctrlProp750.xml><?xml version="1.0" encoding="utf-8"?>
<formControlPr xmlns="http://schemas.microsoft.com/office/spreadsheetml/2009/9/main" objectType="Radio" firstButton="1" fmlaLink="calculations!$R$69" lockText="1" noThreeD="1"/>
</file>

<file path=xl/ctrlProps/ctrlProp751.xml><?xml version="1.0" encoding="utf-8"?>
<formControlPr xmlns="http://schemas.microsoft.com/office/spreadsheetml/2009/9/main" objectType="Radio"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Radio" firstButton="1" fmlaLink="calculations!$R$90" lockText="1" noThreeD="1"/>
</file>

<file path=xl/ctrlProps/ctrlProp755.xml><?xml version="1.0" encoding="utf-8"?>
<formControlPr xmlns="http://schemas.microsoft.com/office/spreadsheetml/2009/9/main" objectType="Radio"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Radio" firstButton="1" fmlaLink="calculations!$R$88" lockText="1" noThreeD="1"/>
</file>

<file path=xl/ctrlProps/ctrlProp759.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firstButton="1" fmlaLink="calculations!$R$89" lockText="1" noThreeD="1"/>
</file>

<file path=xl/ctrlProps/ctrlProp763.xml><?xml version="1.0" encoding="utf-8"?>
<formControlPr xmlns="http://schemas.microsoft.com/office/spreadsheetml/2009/9/main" objectType="Radio"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Radio" firstButton="1" fmlaLink="calculations!$R$94" lockText="1" noThreeD="1"/>
</file>

<file path=xl/ctrlProps/ctrlProp767.xml><?xml version="1.0" encoding="utf-8"?>
<formControlPr xmlns="http://schemas.microsoft.com/office/spreadsheetml/2009/9/main" objectType="Radio"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Radio" firstButton="1" fmlaLink="calculations!$R$95" lockText="1" noThreeD="1"/>
</file>

<file path=xl/ctrlProps/ctrlProp771.xml><?xml version="1.0" encoding="utf-8"?>
<formControlPr xmlns="http://schemas.microsoft.com/office/spreadsheetml/2009/9/main" objectType="Radio"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firstButton="1" fmlaLink="calculations!$R$96"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lockText="1"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Radio" firstButton="1" fmlaLink="calculations!$R$97" lockText="1" noThreeD="1"/>
</file>

<file path=xl/ctrlProps/ctrlProp779.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Radio" firstButton="1" fmlaLink="calculations!$R$107"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fmlaLink="calculations!$R$108"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Radio" firstButton="1" fmlaLink="calculations!$R$110"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Radio" firstButton="1" fmlaLink="calculations!$R$111"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lockText="1"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Radio" firstButton="1" fmlaLink="calculations!$R$112"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fmlaLink="calculations!$G$4"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Radio" firstButton="1" fmlaLink="calculations!$R$113"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Radio" firstButton="1" fmlaLink="calculations!$R$114"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Radio" firstButton="1" fmlaLink="calculations!$R$120"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Radio" firstButton="1" fmlaLink="calculations!$R$121"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lockText="1"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Radio" firstButton="1" fmlaLink="calculations!$R$122"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firstButton="1" fmlaLink="calculations!$G$17"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firstButton="1" fmlaLink="calculations!$R$123"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Radio" firstButton="1" fmlaLink="calculations!$R$124"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Radio" firstButton="1" fmlaLink="calculations!$R$109"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CheckBox" fmlaLink="calculations!$T$100" lockText="1" noThreeD="1"/>
</file>

<file path=xl/ctrlProps/ctrlProp833.xml><?xml version="1.0" encoding="utf-8"?>
<formControlPr xmlns="http://schemas.microsoft.com/office/spreadsheetml/2009/9/main" objectType="CheckBox" fmlaLink="calculations!$U$100" lockText="1" noThreeD="1"/>
</file>

<file path=xl/ctrlProps/ctrlProp834.xml><?xml version="1.0" encoding="utf-8"?>
<formControlPr xmlns="http://schemas.microsoft.com/office/spreadsheetml/2009/9/main" objectType="CheckBox" fmlaLink="calculations!$V$100" lockText="1" noThreeD="1"/>
</file>

<file path=xl/ctrlProps/ctrlProp835.xml><?xml version="1.0" encoding="utf-8"?>
<formControlPr xmlns="http://schemas.microsoft.com/office/spreadsheetml/2009/9/main" objectType="CheckBox" fmlaLink="calculations!$W$100" lockText="1" noThreeD="1"/>
</file>

<file path=xl/ctrlProps/ctrlProp836.xml><?xml version="1.0" encoding="utf-8"?>
<formControlPr xmlns="http://schemas.microsoft.com/office/spreadsheetml/2009/9/main" objectType="CheckBox" fmlaLink="calculations!$X$100" lockText="1" noThreeD="1"/>
</file>

<file path=xl/ctrlProps/ctrlProp837.xml><?xml version="1.0" encoding="utf-8"?>
<formControlPr xmlns="http://schemas.microsoft.com/office/spreadsheetml/2009/9/main" objectType="CheckBox" fmlaLink="calculations!$T$102" lockText="1" noThreeD="1"/>
</file>

<file path=xl/ctrlProps/ctrlProp838.xml><?xml version="1.0" encoding="utf-8"?>
<formControlPr xmlns="http://schemas.microsoft.com/office/spreadsheetml/2009/9/main" objectType="CheckBox" fmlaLink="calculations!$U$102" lockText="1" noThreeD="1"/>
</file>

<file path=xl/ctrlProps/ctrlProp839.xml><?xml version="1.0" encoding="utf-8"?>
<formControlPr xmlns="http://schemas.microsoft.com/office/spreadsheetml/2009/9/main" objectType="CheckBox" fmlaLink="calculations!$V$102"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calculations!$W$102" lockText="1" noThreeD="1"/>
</file>

<file path=xl/ctrlProps/ctrlProp841.xml><?xml version="1.0" encoding="utf-8"?>
<formControlPr xmlns="http://schemas.microsoft.com/office/spreadsheetml/2009/9/main" objectType="CheckBox" fmlaLink="calculations!$X$102" lockText="1" noThreeD="1"/>
</file>

<file path=xl/ctrlProps/ctrlProp842.xml><?xml version="1.0" encoding="utf-8"?>
<formControlPr xmlns="http://schemas.microsoft.com/office/spreadsheetml/2009/9/main" objectType="CheckBox" fmlaLink="calculations!$T$104" lockText="1" noThreeD="1"/>
</file>

<file path=xl/ctrlProps/ctrlProp843.xml><?xml version="1.0" encoding="utf-8"?>
<formControlPr xmlns="http://schemas.microsoft.com/office/spreadsheetml/2009/9/main" objectType="CheckBox" fmlaLink="calculations!$U$104" lockText="1" noThreeD="1"/>
</file>

<file path=xl/ctrlProps/ctrlProp844.xml><?xml version="1.0" encoding="utf-8"?>
<formControlPr xmlns="http://schemas.microsoft.com/office/spreadsheetml/2009/9/main" objectType="CheckBox" fmlaLink="calculations!$V$104" lockText="1" noThreeD="1"/>
</file>

<file path=xl/ctrlProps/ctrlProp845.xml><?xml version="1.0" encoding="utf-8"?>
<formControlPr xmlns="http://schemas.microsoft.com/office/spreadsheetml/2009/9/main" objectType="CheckBox" fmlaLink="calculations!$W$104" lockText="1" noThreeD="1"/>
</file>

<file path=xl/ctrlProps/ctrlProp846.xml><?xml version="1.0" encoding="utf-8"?>
<formControlPr xmlns="http://schemas.microsoft.com/office/spreadsheetml/2009/9/main" objectType="CheckBox" fmlaLink="calculations!$X$104" lockText="1" noThreeD="1"/>
</file>

<file path=xl/ctrlProps/ctrlProp847.xml><?xml version="1.0" encoding="utf-8"?>
<formControlPr xmlns="http://schemas.microsoft.com/office/spreadsheetml/2009/9/main" objectType="CheckBox" fmlaLink="calculations!X14" lockText="1" noThreeD="1"/>
</file>

<file path=xl/ctrlProps/ctrlProp848.xml><?xml version="1.0" encoding="utf-8"?>
<formControlPr xmlns="http://schemas.microsoft.com/office/spreadsheetml/2009/9/main" objectType="CheckBox" fmlaLink="calculations!X15" lockText="1" noThreeD="1"/>
</file>

<file path=xl/ctrlProps/ctrlProp849.xml><?xml version="1.0" encoding="utf-8"?>
<formControlPr xmlns="http://schemas.microsoft.com/office/spreadsheetml/2009/9/main" objectType="CheckBox" fmlaLink="calculations!X16" lockText="1" noThreeD="1"/>
</file>

<file path=xl/ctrlProps/ctrlProp85.xml><?xml version="1.0" encoding="utf-8"?>
<formControlPr xmlns="http://schemas.microsoft.com/office/spreadsheetml/2009/9/main" objectType="Radio" lockText="1" noThreeD="1"/>
</file>

<file path=xl/ctrlProps/ctrlProp850.xml><?xml version="1.0" encoding="utf-8"?>
<formControlPr xmlns="http://schemas.microsoft.com/office/spreadsheetml/2009/9/main" objectType="CheckBox" fmlaLink="calculations!X17" lockText="1" noThreeD="1"/>
</file>

<file path=xl/ctrlProps/ctrlProp851.xml><?xml version="1.0" encoding="utf-8"?>
<formControlPr xmlns="http://schemas.microsoft.com/office/spreadsheetml/2009/9/main" objectType="CheckBox" fmlaLink="calculations!$X$18" lockText="1" noThreeD="1"/>
</file>

<file path=xl/ctrlProps/ctrlProp852.xml><?xml version="1.0" encoding="utf-8"?>
<formControlPr xmlns="http://schemas.microsoft.com/office/spreadsheetml/2009/9/main" objectType="CheckBox" fmlaLink="calculations!$X$19" lockText="1" noThreeD="1"/>
</file>

<file path=xl/ctrlProps/ctrlProp853.xml><?xml version="1.0" encoding="utf-8"?>
<formControlPr xmlns="http://schemas.microsoft.com/office/spreadsheetml/2009/9/main" objectType="CheckBox" fmlaLink="calculations!$X$20"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Radio" firstButton="1" fmlaLink="calculations!$G$18"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calculations!$G$19"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27214</xdr:colOff>
          <xdr:row>2</xdr:row>
          <xdr:rowOff>179614</xdr:rowOff>
        </xdr:from>
        <xdr:to>
          <xdr:col>18</xdr:col>
          <xdr:colOff>201386</xdr:colOff>
          <xdr:row>6</xdr:row>
          <xdr:rowOff>10886</xdr:rowOff>
        </xdr:to>
        <xdr:sp macro="" textlink="">
          <xdr:nvSpPr>
            <xdr:cNvPr id="20481" name="Option Button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a JCC Organization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3</xdr:row>
          <xdr:rowOff>27214</xdr:rowOff>
        </xdr:from>
        <xdr:to>
          <xdr:col>30</xdr:col>
          <xdr:colOff>48986</xdr:colOff>
          <xdr:row>5</xdr:row>
          <xdr:rowOff>48986</xdr:rowOff>
        </xdr:to>
        <xdr:sp macro="" textlink="">
          <xdr:nvSpPr>
            <xdr:cNvPr id="20482" name="Option Button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a YMCA Association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103414</xdr:colOff>
          <xdr:row>3</xdr:row>
          <xdr:rowOff>27214</xdr:rowOff>
        </xdr:from>
        <xdr:to>
          <xdr:col>41</xdr:col>
          <xdr:colOff>65314</xdr:colOff>
          <xdr:row>5</xdr:row>
          <xdr:rowOff>27214</xdr:rowOff>
        </xdr:to>
        <xdr:sp macro="" textlink="">
          <xdr:nvSpPr>
            <xdr:cNvPr id="20483" name="Option Button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an Independent CAMP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87086</xdr:colOff>
          <xdr:row>2</xdr:row>
          <xdr:rowOff>141514</xdr:rowOff>
        </xdr:from>
        <xdr:to>
          <xdr:col>43</xdr:col>
          <xdr:colOff>114300</xdr:colOff>
          <xdr:row>6</xdr:row>
          <xdr:rowOff>27214</xdr:rowOff>
        </xdr:to>
        <xdr:sp macro="" textlink="">
          <xdr:nvSpPr>
            <xdr:cNvPr id="20484" name="Group Box 4" hidden="1">
              <a:extLst>
                <a:ext uri="{63B3BB69-23CF-44E3-9099-C40C66FF867C}">
                  <a14:compatExt spid="_x0000_s2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87086</xdr:colOff>
          <xdr:row>9</xdr:row>
          <xdr:rowOff>0</xdr:rowOff>
        </xdr:from>
        <xdr:to>
          <xdr:col>26</xdr:col>
          <xdr:colOff>76200</xdr:colOff>
          <xdr:row>10</xdr:row>
          <xdr:rowOff>190500</xdr:rowOff>
        </xdr:to>
        <xdr:sp macro="" textlink="">
          <xdr:nvSpPr>
            <xdr:cNvPr id="20492" name="Group Box 12" hidden="1">
              <a:extLst>
                <a:ext uri="{63B3BB69-23CF-44E3-9099-C40C66FF867C}">
                  <a14:compatExt spid="_x0000_s204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en-US" sz="800" b="0" i="0" u="none" strike="noStrike" baseline="0">
                  <a:solidFill>
                    <a:srgbClr val="000000"/>
                  </a:solidFill>
                  <a:latin typeface="Tahoma"/>
                  <a:ea typeface="Tahoma"/>
                  <a:cs typeface="Tahoma"/>
                </a:rPr>
                <a:t>Group Box 12</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10886</xdr:colOff>
          <xdr:row>250</xdr:row>
          <xdr:rowOff>0</xdr:rowOff>
        </xdr:from>
        <xdr:to>
          <xdr:col>15</xdr:col>
          <xdr:colOff>141514</xdr:colOff>
          <xdr:row>251</xdr:row>
          <xdr:rowOff>76200</xdr:rowOff>
        </xdr:to>
        <xdr:sp macro="" textlink="">
          <xdr:nvSpPr>
            <xdr:cNvPr id="6336" name="Check Box 192" hidden="1">
              <a:extLst>
                <a:ext uri="{63B3BB69-23CF-44E3-9099-C40C66FF867C}">
                  <a14:compatExt spid="_x0000_s6336"/>
                </a:ext>
              </a:extLst>
            </xdr:cNvPr>
            <xdr:cNvSpPr/>
          </xdr:nvSpPr>
          <xdr:spPr bwMode="auto">
            <a:xfrm>
              <a:off x="0" y="0"/>
              <a:ext cx="0" cy="0"/>
            </a:xfrm>
            <a:prstGeom prst="rect">
              <a:avLst/>
            </a:prstGeom>
            <a:solidFill>
              <a:srgbClr val="99CCFF" mc:Ignorable="a14" a14:legacySpreadsheetColorIndex="44">
                <a:alpha val="32001"/>
              </a:srgbClr>
            </a:solidFill>
            <a:ln>
              <a:noFill/>
            </a:ln>
            <a:extLs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 OWNED OR MANAGED POOLS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71</xdr:row>
          <xdr:rowOff>0</xdr:rowOff>
        </xdr:from>
        <xdr:to>
          <xdr:col>10</xdr:col>
          <xdr:colOff>114300</xdr:colOff>
          <xdr:row>81</xdr:row>
          <xdr:rowOff>0</xdr:rowOff>
        </xdr:to>
        <xdr:sp macro="" textlink="">
          <xdr:nvSpPr>
            <xdr:cNvPr id="6822" name="Group Box 678" hidden="1">
              <a:extLst>
                <a:ext uri="{63B3BB69-23CF-44E3-9099-C40C66FF867C}">
                  <a14:compatExt spid="_x0000_s6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xdr:row>
          <xdr:rowOff>48986</xdr:rowOff>
        </xdr:from>
        <xdr:to>
          <xdr:col>10</xdr:col>
          <xdr:colOff>38100</xdr:colOff>
          <xdr:row>72</xdr:row>
          <xdr:rowOff>266700</xdr:rowOff>
        </xdr:to>
        <xdr:sp macro="" textlink="">
          <xdr:nvSpPr>
            <xdr:cNvPr id="6823" name="Option Button 679" hidden="1">
              <a:extLst>
                <a:ext uri="{63B3BB69-23CF-44E3-9099-C40C66FF867C}">
                  <a14:compatExt spid="_x0000_s6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73</xdr:row>
          <xdr:rowOff>65314</xdr:rowOff>
        </xdr:from>
        <xdr:to>
          <xdr:col>10</xdr:col>
          <xdr:colOff>38100</xdr:colOff>
          <xdr:row>74</xdr:row>
          <xdr:rowOff>277586</xdr:rowOff>
        </xdr:to>
        <xdr:sp macro="" textlink="">
          <xdr:nvSpPr>
            <xdr:cNvPr id="6824" name="Option Button 680" hidden="1">
              <a:extLst>
                <a:ext uri="{63B3BB69-23CF-44E3-9099-C40C66FF867C}">
                  <a14:compatExt spid="_x0000_s68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75</xdr:row>
          <xdr:rowOff>48986</xdr:rowOff>
        </xdr:from>
        <xdr:to>
          <xdr:col>10</xdr:col>
          <xdr:colOff>38100</xdr:colOff>
          <xdr:row>76</xdr:row>
          <xdr:rowOff>255814</xdr:rowOff>
        </xdr:to>
        <xdr:sp macro="" textlink="">
          <xdr:nvSpPr>
            <xdr:cNvPr id="6825" name="Option Button 681" hidden="1">
              <a:extLst>
                <a:ext uri="{63B3BB69-23CF-44E3-9099-C40C66FF867C}">
                  <a14:compatExt spid="_x0000_s68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77</xdr:row>
          <xdr:rowOff>48986</xdr:rowOff>
        </xdr:from>
        <xdr:to>
          <xdr:col>10</xdr:col>
          <xdr:colOff>27214</xdr:colOff>
          <xdr:row>79</xdr:row>
          <xdr:rowOff>10886</xdr:rowOff>
        </xdr:to>
        <xdr:sp macro="" textlink="">
          <xdr:nvSpPr>
            <xdr:cNvPr id="6826" name="Option Button 682" hidden="1">
              <a:extLst>
                <a:ext uri="{63B3BB69-23CF-44E3-9099-C40C66FF867C}">
                  <a14:compatExt spid="_x0000_s68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79</xdr:row>
          <xdr:rowOff>48986</xdr:rowOff>
        </xdr:from>
        <xdr:to>
          <xdr:col>9</xdr:col>
          <xdr:colOff>179614</xdr:colOff>
          <xdr:row>80</xdr:row>
          <xdr:rowOff>266700</xdr:rowOff>
        </xdr:to>
        <xdr:sp macro="" textlink="">
          <xdr:nvSpPr>
            <xdr:cNvPr id="6827" name="Option Button 683" hidden="1">
              <a:extLst>
                <a:ext uri="{63B3BB69-23CF-44E3-9099-C40C66FF867C}">
                  <a14:compatExt spid="_x0000_s6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10</xdr:col>
          <xdr:colOff>114300</xdr:colOff>
          <xdr:row>98</xdr:row>
          <xdr:rowOff>0</xdr:rowOff>
        </xdr:to>
        <xdr:sp macro="" textlink="">
          <xdr:nvSpPr>
            <xdr:cNvPr id="6828" name="Group Box 684" hidden="1">
              <a:extLst>
                <a:ext uri="{63B3BB69-23CF-44E3-9099-C40C66FF867C}">
                  <a14:compatExt spid="_x0000_s6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87</xdr:row>
          <xdr:rowOff>48986</xdr:rowOff>
        </xdr:from>
        <xdr:to>
          <xdr:col>10</xdr:col>
          <xdr:colOff>27214</xdr:colOff>
          <xdr:row>88</xdr:row>
          <xdr:rowOff>266700</xdr:rowOff>
        </xdr:to>
        <xdr:sp macro="" textlink="">
          <xdr:nvSpPr>
            <xdr:cNvPr id="6829" name="Option Button 685" hidden="1">
              <a:extLst>
                <a:ext uri="{63B3BB69-23CF-44E3-9099-C40C66FF867C}">
                  <a14:compatExt spid="_x0000_s68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89</xdr:row>
          <xdr:rowOff>65314</xdr:rowOff>
        </xdr:from>
        <xdr:to>
          <xdr:col>10</xdr:col>
          <xdr:colOff>10886</xdr:colOff>
          <xdr:row>90</xdr:row>
          <xdr:rowOff>277586</xdr:rowOff>
        </xdr:to>
        <xdr:sp macro="" textlink="">
          <xdr:nvSpPr>
            <xdr:cNvPr id="6830" name="Option Button 686" hidden="1">
              <a:extLst>
                <a:ext uri="{63B3BB69-23CF-44E3-9099-C40C66FF867C}">
                  <a14:compatExt spid="_x0000_s68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10</xdr:col>
          <xdr:colOff>125186</xdr:colOff>
          <xdr:row>116</xdr:row>
          <xdr:rowOff>0</xdr:rowOff>
        </xdr:to>
        <xdr:sp macro="" textlink="">
          <xdr:nvSpPr>
            <xdr:cNvPr id="6834" name="Group Box 690" hidden="1">
              <a:extLst>
                <a:ext uri="{63B3BB69-23CF-44E3-9099-C40C66FF867C}">
                  <a14:compatExt spid="_x0000_s68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103</xdr:row>
          <xdr:rowOff>48986</xdr:rowOff>
        </xdr:from>
        <xdr:to>
          <xdr:col>10</xdr:col>
          <xdr:colOff>76200</xdr:colOff>
          <xdr:row>104</xdr:row>
          <xdr:rowOff>266700</xdr:rowOff>
        </xdr:to>
        <xdr:sp macro="" textlink="">
          <xdr:nvSpPr>
            <xdr:cNvPr id="6835" name="Option Button 691" hidden="1">
              <a:extLst>
                <a:ext uri="{63B3BB69-23CF-44E3-9099-C40C66FF867C}">
                  <a14:compatExt spid="_x0000_s68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107</xdr:row>
          <xdr:rowOff>38100</xdr:rowOff>
        </xdr:from>
        <xdr:to>
          <xdr:col>10</xdr:col>
          <xdr:colOff>38100</xdr:colOff>
          <xdr:row>108</xdr:row>
          <xdr:rowOff>255814</xdr:rowOff>
        </xdr:to>
        <xdr:sp macro="" textlink="">
          <xdr:nvSpPr>
            <xdr:cNvPr id="6836" name="Option Button 692" hidden="1">
              <a:extLst>
                <a:ext uri="{63B3BB69-23CF-44E3-9099-C40C66FF867C}">
                  <a14:compatExt spid="_x0000_s68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109</xdr:row>
          <xdr:rowOff>65314</xdr:rowOff>
        </xdr:from>
        <xdr:to>
          <xdr:col>10</xdr:col>
          <xdr:colOff>27214</xdr:colOff>
          <xdr:row>110</xdr:row>
          <xdr:rowOff>266700</xdr:rowOff>
        </xdr:to>
        <xdr:sp macro="" textlink="">
          <xdr:nvSpPr>
            <xdr:cNvPr id="6837" name="Option Button 693" hidden="1">
              <a:extLst>
                <a:ext uri="{63B3BB69-23CF-44E3-9099-C40C66FF867C}">
                  <a14:compatExt spid="_x0000_s6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111</xdr:row>
          <xdr:rowOff>48986</xdr:rowOff>
        </xdr:from>
        <xdr:to>
          <xdr:col>10</xdr:col>
          <xdr:colOff>27214</xdr:colOff>
          <xdr:row>113</xdr:row>
          <xdr:rowOff>38100</xdr:rowOff>
        </xdr:to>
        <xdr:sp macro="" textlink="">
          <xdr:nvSpPr>
            <xdr:cNvPr id="6838" name="Option Button 694" hidden="1">
              <a:extLst>
                <a:ext uri="{63B3BB69-23CF-44E3-9099-C40C66FF867C}">
                  <a14:compatExt spid="_x0000_s6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113</xdr:row>
          <xdr:rowOff>38100</xdr:rowOff>
        </xdr:from>
        <xdr:to>
          <xdr:col>10</xdr:col>
          <xdr:colOff>103414</xdr:colOff>
          <xdr:row>115</xdr:row>
          <xdr:rowOff>27214</xdr:rowOff>
        </xdr:to>
        <xdr:sp macro="" textlink="">
          <xdr:nvSpPr>
            <xdr:cNvPr id="6839" name="Option Button 695" hidden="1">
              <a:extLst>
                <a:ext uri="{63B3BB69-23CF-44E3-9099-C40C66FF867C}">
                  <a14:compatExt spid="_x0000_s6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BLACK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10</xdr:col>
          <xdr:colOff>114300</xdr:colOff>
          <xdr:row>134</xdr:row>
          <xdr:rowOff>0</xdr:rowOff>
        </xdr:to>
        <xdr:sp macro="" textlink="">
          <xdr:nvSpPr>
            <xdr:cNvPr id="6840" name="Group Box 696" hidden="1">
              <a:extLst>
                <a:ext uri="{63B3BB69-23CF-44E3-9099-C40C66FF867C}">
                  <a14:compatExt spid="_x0000_s6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121</xdr:row>
          <xdr:rowOff>48986</xdr:rowOff>
        </xdr:from>
        <xdr:to>
          <xdr:col>10</xdr:col>
          <xdr:colOff>48986</xdr:colOff>
          <xdr:row>122</xdr:row>
          <xdr:rowOff>266700</xdr:rowOff>
        </xdr:to>
        <xdr:sp macro="" textlink="">
          <xdr:nvSpPr>
            <xdr:cNvPr id="6841" name="Option Button 697" hidden="1">
              <a:extLst>
                <a:ext uri="{63B3BB69-23CF-44E3-9099-C40C66FF867C}">
                  <a14:compatExt spid="_x0000_s6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123</xdr:row>
          <xdr:rowOff>65314</xdr:rowOff>
        </xdr:from>
        <xdr:to>
          <xdr:col>10</xdr:col>
          <xdr:colOff>10886</xdr:colOff>
          <xdr:row>124</xdr:row>
          <xdr:rowOff>277586</xdr:rowOff>
        </xdr:to>
        <xdr:sp macro="" textlink="">
          <xdr:nvSpPr>
            <xdr:cNvPr id="6842" name="Option Button 698" hidden="1">
              <a:extLst>
                <a:ext uri="{63B3BB69-23CF-44E3-9099-C40C66FF867C}">
                  <a14:compatExt spid="_x0000_s6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125</xdr:row>
          <xdr:rowOff>48986</xdr:rowOff>
        </xdr:from>
        <xdr:to>
          <xdr:col>10</xdr:col>
          <xdr:colOff>27214</xdr:colOff>
          <xdr:row>126</xdr:row>
          <xdr:rowOff>255814</xdr:rowOff>
        </xdr:to>
        <xdr:sp macro="" textlink="">
          <xdr:nvSpPr>
            <xdr:cNvPr id="6843" name="Option Button 699" hidden="1">
              <a:extLst>
                <a:ext uri="{63B3BB69-23CF-44E3-9099-C40C66FF867C}">
                  <a14:compatExt spid="_x0000_s6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129</xdr:row>
          <xdr:rowOff>38100</xdr:rowOff>
        </xdr:from>
        <xdr:to>
          <xdr:col>10</xdr:col>
          <xdr:colOff>38100</xdr:colOff>
          <xdr:row>130</xdr:row>
          <xdr:rowOff>255814</xdr:rowOff>
        </xdr:to>
        <xdr:sp macro="" textlink="">
          <xdr:nvSpPr>
            <xdr:cNvPr id="6844" name="Option Button 700" hidden="1">
              <a:extLst>
                <a:ext uri="{63B3BB69-23CF-44E3-9099-C40C66FF867C}">
                  <a14:compatExt spid="_x0000_s68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131</xdr:row>
          <xdr:rowOff>38100</xdr:rowOff>
        </xdr:from>
        <xdr:to>
          <xdr:col>9</xdr:col>
          <xdr:colOff>152400</xdr:colOff>
          <xdr:row>133</xdr:row>
          <xdr:rowOff>27214</xdr:rowOff>
        </xdr:to>
        <xdr:sp macro="" textlink="">
          <xdr:nvSpPr>
            <xdr:cNvPr id="6845" name="Option Button 701" hidden="1">
              <a:extLst>
                <a:ext uri="{63B3BB69-23CF-44E3-9099-C40C66FF867C}">
                  <a14:compatExt spid="_x0000_s68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0</xdr:rowOff>
        </xdr:from>
        <xdr:to>
          <xdr:col>10</xdr:col>
          <xdr:colOff>103414</xdr:colOff>
          <xdr:row>149</xdr:row>
          <xdr:rowOff>65314</xdr:rowOff>
        </xdr:to>
        <xdr:sp macro="" textlink="">
          <xdr:nvSpPr>
            <xdr:cNvPr id="6846" name="Group Box 702" hidden="1">
              <a:extLst>
                <a:ext uri="{63B3BB69-23CF-44E3-9099-C40C66FF867C}">
                  <a14:compatExt spid="_x0000_s68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139</xdr:row>
          <xdr:rowOff>48986</xdr:rowOff>
        </xdr:from>
        <xdr:to>
          <xdr:col>10</xdr:col>
          <xdr:colOff>0</xdr:colOff>
          <xdr:row>140</xdr:row>
          <xdr:rowOff>266700</xdr:rowOff>
        </xdr:to>
        <xdr:sp macro="" textlink="">
          <xdr:nvSpPr>
            <xdr:cNvPr id="6847" name="Option Button 703" hidden="1">
              <a:extLst>
                <a:ext uri="{63B3BB69-23CF-44E3-9099-C40C66FF867C}">
                  <a14:compatExt spid="_x0000_s6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141</xdr:row>
          <xdr:rowOff>65314</xdr:rowOff>
        </xdr:from>
        <xdr:to>
          <xdr:col>10</xdr:col>
          <xdr:colOff>0</xdr:colOff>
          <xdr:row>142</xdr:row>
          <xdr:rowOff>277586</xdr:rowOff>
        </xdr:to>
        <xdr:sp macro="" textlink="">
          <xdr:nvSpPr>
            <xdr:cNvPr id="6848" name="Option Button 704" hidden="1">
              <a:extLst>
                <a:ext uri="{63B3BB69-23CF-44E3-9099-C40C66FF867C}">
                  <a14:compatExt spid="_x0000_s6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143</xdr:row>
          <xdr:rowOff>48986</xdr:rowOff>
        </xdr:from>
        <xdr:to>
          <xdr:col>10</xdr:col>
          <xdr:colOff>38100</xdr:colOff>
          <xdr:row>144</xdr:row>
          <xdr:rowOff>255814</xdr:rowOff>
        </xdr:to>
        <xdr:sp macro="" textlink="">
          <xdr:nvSpPr>
            <xdr:cNvPr id="6849" name="Option Button 705" hidden="1">
              <a:extLst>
                <a:ext uri="{63B3BB69-23CF-44E3-9099-C40C66FF867C}">
                  <a14:compatExt spid="_x0000_s68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155</xdr:row>
          <xdr:rowOff>0</xdr:rowOff>
        </xdr:from>
        <xdr:to>
          <xdr:col>10</xdr:col>
          <xdr:colOff>125186</xdr:colOff>
          <xdr:row>168</xdr:row>
          <xdr:rowOff>0</xdr:rowOff>
        </xdr:to>
        <xdr:sp macro="" textlink="">
          <xdr:nvSpPr>
            <xdr:cNvPr id="6859" name="Group Box 715" hidden="1">
              <a:extLst>
                <a:ext uri="{63B3BB69-23CF-44E3-9099-C40C66FF867C}">
                  <a14:compatExt spid="_x0000_s6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157</xdr:row>
          <xdr:rowOff>48986</xdr:rowOff>
        </xdr:from>
        <xdr:to>
          <xdr:col>10</xdr:col>
          <xdr:colOff>27214</xdr:colOff>
          <xdr:row>159</xdr:row>
          <xdr:rowOff>48986</xdr:rowOff>
        </xdr:to>
        <xdr:sp macro="" textlink="">
          <xdr:nvSpPr>
            <xdr:cNvPr id="6860" name="Option Button 716" hidden="1">
              <a:extLst>
                <a:ext uri="{63B3BB69-23CF-44E3-9099-C40C66FF867C}">
                  <a14:compatExt spid="_x0000_s68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159</xdr:row>
          <xdr:rowOff>27214</xdr:rowOff>
        </xdr:from>
        <xdr:to>
          <xdr:col>10</xdr:col>
          <xdr:colOff>48986</xdr:colOff>
          <xdr:row>160</xdr:row>
          <xdr:rowOff>255814</xdr:rowOff>
        </xdr:to>
        <xdr:sp macro="" textlink="">
          <xdr:nvSpPr>
            <xdr:cNvPr id="6861" name="Option Button 717" hidden="1">
              <a:extLst>
                <a:ext uri="{63B3BB69-23CF-44E3-9099-C40C66FF867C}">
                  <a14:compatExt spid="_x0000_s68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161</xdr:row>
          <xdr:rowOff>48986</xdr:rowOff>
        </xdr:from>
        <xdr:to>
          <xdr:col>10</xdr:col>
          <xdr:colOff>27214</xdr:colOff>
          <xdr:row>163</xdr:row>
          <xdr:rowOff>0</xdr:rowOff>
        </xdr:to>
        <xdr:sp macro="" textlink="">
          <xdr:nvSpPr>
            <xdr:cNvPr id="6862" name="Option Button 718" hidden="1">
              <a:extLst>
                <a:ext uri="{63B3BB69-23CF-44E3-9099-C40C66FF867C}">
                  <a14:compatExt spid="_x0000_s68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163</xdr:row>
          <xdr:rowOff>48986</xdr:rowOff>
        </xdr:from>
        <xdr:to>
          <xdr:col>10</xdr:col>
          <xdr:colOff>27214</xdr:colOff>
          <xdr:row>165</xdr:row>
          <xdr:rowOff>48986</xdr:rowOff>
        </xdr:to>
        <xdr:sp macro="" textlink="">
          <xdr:nvSpPr>
            <xdr:cNvPr id="6863" name="Option Button 719" hidden="1">
              <a:extLst>
                <a:ext uri="{63B3BB69-23CF-44E3-9099-C40C66FF867C}">
                  <a14:compatExt spid="_x0000_s68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165</xdr:row>
          <xdr:rowOff>38100</xdr:rowOff>
        </xdr:from>
        <xdr:to>
          <xdr:col>10</xdr:col>
          <xdr:colOff>10886</xdr:colOff>
          <xdr:row>167</xdr:row>
          <xdr:rowOff>48986</xdr:rowOff>
        </xdr:to>
        <xdr:sp macro="" textlink="">
          <xdr:nvSpPr>
            <xdr:cNvPr id="6864" name="Option Button 720" hidden="1">
              <a:extLst>
                <a:ext uri="{63B3BB69-23CF-44E3-9099-C40C66FF867C}">
                  <a14:compatExt spid="_x0000_s68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155</xdr:row>
          <xdr:rowOff>48986</xdr:rowOff>
        </xdr:from>
        <xdr:to>
          <xdr:col>10</xdr:col>
          <xdr:colOff>48986</xdr:colOff>
          <xdr:row>157</xdr:row>
          <xdr:rowOff>38100</xdr:rowOff>
        </xdr:to>
        <xdr:sp macro="" textlink="">
          <xdr:nvSpPr>
            <xdr:cNvPr id="6865" name="Option Button 721" hidden="1">
              <a:extLst>
                <a:ext uri="{63B3BB69-23CF-44E3-9099-C40C66FF867C}">
                  <a14:compatExt spid="_x0000_s68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10</xdr:col>
          <xdr:colOff>103414</xdr:colOff>
          <xdr:row>204</xdr:row>
          <xdr:rowOff>0</xdr:rowOff>
        </xdr:to>
        <xdr:sp macro="" textlink="">
          <xdr:nvSpPr>
            <xdr:cNvPr id="6866" name="Group Box 722" hidden="1">
              <a:extLst>
                <a:ext uri="{63B3BB69-23CF-44E3-9099-C40C66FF867C}">
                  <a14:compatExt spid="_x0000_s68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193</xdr:row>
          <xdr:rowOff>48986</xdr:rowOff>
        </xdr:from>
        <xdr:to>
          <xdr:col>10</xdr:col>
          <xdr:colOff>48986</xdr:colOff>
          <xdr:row>194</xdr:row>
          <xdr:rowOff>266700</xdr:rowOff>
        </xdr:to>
        <xdr:sp macro="" textlink="">
          <xdr:nvSpPr>
            <xdr:cNvPr id="6867" name="Option Button 723" hidden="1">
              <a:extLst>
                <a:ext uri="{63B3BB69-23CF-44E3-9099-C40C66FF867C}">
                  <a14:compatExt spid="_x0000_s68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195</xdr:row>
          <xdr:rowOff>27214</xdr:rowOff>
        </xdr:from>
        <xdr:to>
          <xdr:col>10</xdr:col>
          <xdr:colOff>0</xdr:colOff>
          <xdr:row>196</xdr:row>
          <xdr:rowOff>255814</xdr:rowOff>
        </xdr:to>
        <xdr:sp macro="" textlink="">
          <xdr:nvSpPr>
            <xdr:cNvPr id="6868" name="Option Button 724" hidden="1">
              <a:extLst>
                <a:ext uri="{63B3BB69-23CF-44E3-9099-C40C66FF867C}">
                  <a14:compatExt spid="_x0000_s68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197</xdr:row>
          <xdr:rowOff>48986</xdr:rowOff>
        </xdr:from>
        <xdr:to>
          <xdr:col>10</xdr:col>
          <xdr:colOff>27214</xdr:colOff>
          <xdr:row>198</xdr:row>
          <xdr:rowOff>266700</xdr:rowOff>
        </xdr:to>
        <xdr:sp macro="" textlink="">
          <xdr:nvSpPr>
            <xdr:cNvPr id="6869" name="Option Button 725" hidden="1">
              <a:extLst>
                <a:ext uri="{63B3BB69-23CF-44E3-9099-C40C66FF867C}">
                  <a14:compatExt spid="_x0000_s68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199</xdr:row>
          <xdr:rowOff>48986</xdr:rowOff>
        </xdr:from>
        <xdr:to>
          <xdr:col>10</xdr:col>
          <xdr:colOff>27214</xdr:colOff>
          <xdr:row>200</xdr:row>
          <xdr:rowOff>277586</xdr:rowOff>
        </xdr:to>
        <xdr:sp macro="" textlink="">
          <xdr:nvSpPr>
            <xdr:cNvPr id="6870" name="Option Button 726" hidden="1">
              <a:extLst>
                <a:ext uri="{63B3BB69-23CF-44E3-9099-C40C66FF867C}">
                  <a14:compatExt spid="_x0000_s68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201</xdr:row>
          <xdr:rowOff>10886</xdr:rowOff>
        </xdr:from>
        <xdr:to>
          <xdr:col>9</xdr:col>
          <xdr:colOff>190500</xdr:colOff>
          <xdr:row>203</xdr:row>
          <xdr:rowOff>27214</xdr:rowOff>
        </xdr:to>
        <xdr:sp macro="" textlink="">
          <xdr:nvSpPr>
            <xdr:cNvPr id="6871" name="Option Button 727" hidden="1">
              <a:extLst>
                <a:ext uri="{63B3BB69-23CF-44E3-9099-C40C66FF867C}">
                  <a14:compatExt spid="_x0000_s68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191</xdr:row>
          <xdr:rowOff>48986</xdr:rowOff>
        </xdr:from>
        <xdr:to>
          <xdr:col>9</xdr:col>
          <xdr:colOff>190500</xdr:colOff>
          <xdr:row>193</xdr:row>
          <xdr:rowOff>38100</xdr:rowOff>
        </xdr:to>
        <xdr:sp macro="" textlink="">
          <xdr:nvSpPr>
            <xdr:cNvPr id="6872" name="Option Button 728" hidden="1">
              <a:extLst>
                <a:ext uri="{63B3BB69-23CF-44E3-9099-C40C66FF867C}">
                  <a14:compatExt spid="_x0000_s68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10</xdr:col>
          <xdr:colOff>125186</xdr:colOff>
          <xdr:row>222</xdr:row>
          <xdr:rowOff>0</xdr:rowOff>
        </xdr:to>
        <xdr:sp macro="" textlink="">
          <xdr:nvSpPr>
            <xdr:cNvPr id="6873" name="Group Box 729" hidden="1">
              <a:extLst>
                <a:ext uri="{63B3BB69-23CF-44E3-9099-C40C66FF867C}">
                  <a14:compatExt spid="_x0000_s68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211</xdr:row>
          <xdr:rowOff>48986</xdr:rowOff>
        </xdr:from>
        <xdr:to>
          <xdr:col>10</xdr:col>
          <xdr:colOff>0</xdr:colOff>
          <xdr:row>212</xdr:row>
          <xdr:rowOff>266700</xdr:rowOff>
        </xdr:to>
        <xdr:sp macro="" textlink="">
          <xdr:nvSpPr>
            <xdr:cNvPr id="6874" name="Option Button 730" hidden="1">
              <a:extLst>
                <a:ext uri="{63B3BB69-23CF-44E3-9099-C40C66FF867C}">
                  <a14:compatExt spid="_x0000_s68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213</xdr:row>
          <xdr:rowOff>38100</xdr:rowOff>
        </xdr:from>
        <xdr:to>
          <xdr:col>10</xdr:col>
          <xdr:colOff>0</xdr:colOff>
          <xdr:row>214</xdr:row>
          <xdr:rowOff>266700</xdr:rowOff>
        </xdr:to>
        <xdr:sp macro="" textlink="">
          <xdr:nvSpPr>
            <xdr:cNvPr id="6875" name="Option Button 731" hidden="1">
              <a:extLst>
                <a:ext uri="{63B3BB69-23CF-44E3-9099-C40C66FF867C}">
                  <a14:compatExt spid="_x0000_s68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215</xdr:row>
          <xdr:rowOff>48986</xdr:rowOff>
        </xdr:from>
        <xdr:to>
          <xdr:col>10</xdr:col>
          <xdr:colOff>27214</xdr:colOff>
          <xdr:row>216</xdr:row>
          <xdr:rowOff>266700</xdr:rowOff>
        </xdr:to>
        <xdr:sp macro="" textlink="">
          <xdr:nvSpPr>
            <xdr:cNvPr id="6876" name="Option Button 732" hidden="1">
              <a:extLst>
                <a:ext uri="{63B3BB69-23CF-44E3-9099-C40C66FF867C}">
                  <a14:compatExt spid="_x0000_s68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217</xdr:row>
          <xdr:rowOff>48986</xdr:rowOff>
        </xdr:from>
        <xdr:to>
          <xdr:col>10</xdr:col>
          <xdr:colOff>10886</xdr:colOff>
          <xdr:row>218</xdr:row>
          <xdr:rowOff>277586</xdr:rowOff>
        </xdr:to>
        <xdr:sp macro="" textlink="">
          <xdr:nvSpPr>
            <xdr:cNvPr id="6877" name="Option Button 733" hidden="1">
              <a:extLst>
                <a:ext uri="{63B3BB69-23CF-44E3-9099-C40C66FF867C}">
                  <a14:compatExt spid="_x0000_s68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219</xdr:row>
          <xdr:rowOff>48986</xdr:rowOff>
        </xdr:from>
        <xdr:to>
          <xdr:col>10</xdr:col>
          <xdr:colOff>114300</xdr:colOff>
          <xdr:row>220</xdr:row>
          <xdr:rowOff>277586</xdr:rowOff>
        </xdr:to>
        <xdr:sp macro="" textlink="">
          <xdr:nvSpPr>
            <xdr:cNvPr id="6878" name="Option Button 734" hidden="1">
              <a:extLst>
                <a:ext uri="{63B3BB69-23CF-44E3-9099-C40C66FF867C}">
                  <a14:compatExt spid="_x0000_s68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209</xdr:row>
          <xdr:rowOff>48986</xdr:rowOff>
        </xdr:from>
        <xdr:to>
          <xdr:col>10</xdr:col>
          <xdr:colOff>10886</xdr:colOff>
          <xdr:row>210</xdr:row>
          <xdr:rowOff>266700</xdr:rowOff>
        </xdr:to>
        <xdr:sp macro="" textlink="">
          <xdr:nvSpPr>
            <xdr:cNvPr id="6879" name="Option Button 735" hidden="1">
              <a:extLst>
                <a:ext uri="{63B3BB69-23CF-44E3-9099-C40C66FF867C}">
                  <a14:compatExt spid="_x0000_s68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227</xdr:row>
          <xdr:rowOff>0</xdr:rowOff>
        </xdr:from>
        <xdr:to>
          <xdr:col>10</xdr:col>
          <xdr:colOff>125186</xdr:colOff>
          <xdr:row>244</xdr:row>
          <xdr:rowOff>27214</xdr:rowOff>
        </xdr:to>
        <xdr:sp macro="" textlink="">
          <xdr:nvSpPr>
            <xdr:cNvPr id="6880" name="Group Box 736" hidden="1">
              <a:extLst>
                <a:ext uri="{63B3BB69-23CF-44E3-9099-C40C66FF867C}">
                  <a14:compatExt spid="_x0000_s6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229</xdr:row>
          <xdr:rowOff>48986</xdr:rowOff>
        </xdr:from>
        <xdr:to>
          <xdr:col>10</xdr:col>
          <xdr:colOff>10886</xdr:colOff>
          <xdr:row>230</xdr:row>
          <xdr:rowOff>266700</xdr:rowOff>
        </xdr:to>
        <xdr:sp macro="" textlink="">
          <xdr:nvSpPr>
            <xdr:cNvPr id="6881" name="Option Button 737" hidden="1">
              <a:extLst>
                <a:ext uri="{63B3BB69-23CF-44E3-9099-C40C66FF867C}">
                  <a14:compatExt spid="_x0000_s68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231</xdr:row>
          <xdr:rowOff>65314</xdr:rowOff>
        </xdr:from>
        <xdr:to>
          <xdr:col>10</xdr:col>
          <xdr:colOff>76200</xdr:colOff>
          <xdr:row>232</xdr:row>
          <xdr:rowOff>277586</xdr:rowOff>
        </xdr:to>
        <xdr:sp macro="" textlink="">
          <xdr:nvSpPr>
            <xdr:cNvPr id="6882" name="Option Button 738" hidden="1">
              <a:extLst>
                <a:ext uri="{63B3BB69-23CF-44E3-9099-C40C66FF867C}">
                  <a14:compatExt spid="_x0000_s68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233</xdr:row>
          <xdr:rowOff>48986</xdr:rowOff>
        </xdr:from>
        <xdr:to>
          <xdr:col>10</xdr:col>
          <xdr:colOff>10886</xdr:colOff>
          <xdr:row>234</xdr:row>
          <xdr:rowOff>266700</xdr:rowOff>
        </xdr:to>
        <xdr:sp macro="" textlink="">
          <xdr:nvSpPr>
            <xdr:cNvPr id="6883" name="Option Button 739" hidden="1">
              <a:extLst>
                <a:ext uri="{63B3BB69-23CF-44E3-9099-C40C66FF867C}">
                  <a14:compatExt spid="_x0000_s68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238</xdr:row>
          <xdr:rowOff>38100</xdr:rowOff>
        </xdr:from>
        <xdr:to>
          <xdr:col>10</xdr:col>
          <xdr:colOff>10886</xdr:colOff>
          <xdr:row>239</xdr:row>
          <xdr:rowOff>266700</xdr:rowOff>
        </xdr:to>
        <xdr:sp macro="" textlink="">
          <xdr:nvSpPr>
            <xdr:cNvPr id="6884" name="Option Button 740" hidden="1">
              <a:extLst>
                <a:ext uri="{63B3BB69-23CF-44E3-9099-C40C66FF867C}">
                  <a14:compatExt spid="_x0000_s68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242</xdr:row>
          <xdr:rowOff>48986</xdr:rowOff>
        </xdr:from>
        <xdr:to>
          <xdr:col>10</xdr:col>
          <xdr:colOff>27214</xdr:colOff>
          <xdr:row>243</xdr:row>
          <xdr:rowOff>277586</xdr:rowOff>
        </xdr:to>
        <xdr:sp macro="" textlink="">
          <xdr:nvSpPr>
            <xdr:cNvPr id="6885" name="Option Button 741" hidden="1">
              <a:extLst>
                <a:ext uri="{63B3BB69-23CF-44E3-9099-C40C66FF867C}">
                  <a14:compatExt spid="_x0000_s68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227</xdr:row>
          <xdr:rowOff>48986</xdr:rowOff>
        </xdr:from>
        <xdr:to>
          <xdr:col>10</xdr:col>
          <xdr:colOff>0</xdr:colOff>
          <xdr:row>228</xdr:row>
          <xdr:rowOff>266700</xdr:rowOff>
        </xdr:to>
        <xdr:sp macro="" textlink="">
          <xdr:nvSpPr>
            <xdr:cNvPr id="6886" name="Option Button 742" hidden="1">
              <a:extLst>
                <a:ext uri="{63B3BB69-23CF-44E3-9099-C40C66FF867C}">
                  <a14:compatExt spid="_x0000_s68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173</xdr:row>
          <xdr:rowOff>0</xdr:rowOff>
        </xdr:from>
        <xdr:to>
          <xdr:col>10</xdr:col>
          <xdr:colOff>125186</xdr:colOff>
          <xdr:row>184</xdr:row>
          <xdr:rowOff>598714</xdr:rowOff>
        </xdr:to>
        <xdr:sp macro="" textlink="">
          <xdr:nvSpPr>
            <xdr:cNvPr id="6887" name="Group Box 743" hidden="1">
              <a:extLst>
                <a:ext uri="{63B3BB69-23CF-44E3-9099-C40C66FF867C}">
                  <a14:compatExt spid="_x0000_s68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175</xdr:row>
          <xdr:rowOff>48986</xdr:rowOff>
        </xdr:from>
        <xdr:to>
          <xdr:col>10</xdr:col>
          <xdr:colOff>103414</xdr:colOff>
          <xdr:row>177</xdr:row>
          <xdr:rowOff>38100</xdr:rowOff>
        </xdr:to>
        <xdr:sp macro="" textlink="">
          <xdr:nvSpPr>
            <xdr:cNvPr id="6888" name="Option Button 744" hidden="1">
              <a:extLst>
                <a:ext uri="{63B3BB69-23CF-44E3-9099-C40C66FF867C}">
                  <a14:compatExt spid="_x0000_s68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177</xdr:row>
          <xdr:rowOff>48986</xdr:rowOff>
        </xdr:from>
        <xdr:to>
          <xdr:col>10</xdr:col>
          <xdr:colOff>48986</xdr:colOff>
          <xdr:row>178</xdr:row>
          <xdr:rowOff>277586</xdr:rowOff>
        </xdr:to>
        <xdr:sp macro="" textlink="">
          <xdr:nvSpPr>
            <xdr:cNvPr id="6889" name="Option Button 745" hidden="1">
              <a:extLst>
                <a:ext uri="{63B3BB69-23CF-44E3-9099-C40C66FF867C}">
                  <a14:compatExt spid="_x0000_s68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179</xdr:row>
          <xdr:rowOff>48986</xdr:rowOff>
        </xdr:from>
        <xdr:to>
          <xdr:col>10</xdr:col>
          <xdr:colOff>27214</xdr:colOff>
          <xdr:row>180</xdr:row>
          <xdr:rowOff>266700</xdr:rowOff>
        </xdr:to>
        <xdr:sp macro="" textlink="">
          <xdr:nvSpPr>
            <xdr:cNvPr id="6890" name="Option Button 746" hidden="1">
              <a:extLst>
                <a:ext uri="{63B3BB69-23CF-44E3-9099-C40C66FF867C}">
                  <a14:compatExt spid="_x0000_s68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181</xdr:row>
          <xdr:rowOff>48986</xdr:rowOff>
        </xdr:from>
        <xdr:to>
          <xdr:col>10</xdr:col>
          <xdr:colOff>38100</xdr:colOff>
          <xdr:row>182</xdr:row>
          <xdr:rowOff>277586</xdr:rowOff>
        </xdr:to>
        <xdr:sp macro="" textlink="">
          <xdr:nvSpPr>
            <xdr:cNvPr id="6891" name="Option Button 747" hidden="1">
              <a:extLst>
                <a:ext uri="{63B3BB69-23CF-44E3-9099-C40C66FF867C}">
                  <a14:compatExt spid="_x0000_s68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183</xdr:row>
          <xdr:rowOff>48986</xdr:rowOff>
        </xdr:from>
        <xdr:to>
          <xdr:col>10</xdr:col>
          <xdr:colOff>38100</xdr:colOff>
          <xdr:row>184</xdr:row>
          <xdr:rowOff>277586</xdr:rowOff>
        </xdr:to>
        <xdr:sp macro="" textlink="">
          <xdr:nvSpPr>
            <xdr:cNvPr id="6892" name="Option Button 748" hidden="1">
              <a:extLst>
                <a:ext uri="{63B3BB69-23CF-44E3-9099-C40C66FF867C}">
                  <a14:compatExt spid="_x0000_s68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173</xdr:row>
          <xdr:rowOff>48986</xdr:rowOff>
        </xdr:from>
        <xdr:to>
          <xdr:col>10</xdr:col>
          <xdr:colOff>87086</xdr:colOff>
          <xdr:row>175</xdr:row>
          <xdr:rowOff>38100</xdr:rowOff>
        </xdr:to>
        <xdr:sp macro="" textlink="">
          <xdr:nvSpPr>
            <xdr:cNvPr id="6893" name="Option Button 749" hidden="1">
              <a:extLst>
                <a:ext uri="{63B3BB69-23CF-44E3-9099-C40C66FF867C}">
                  <a14:compatExt spid="_x0000_s68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255</xdr:row>
          <xdr:rowOff>0</xdr:rowOff>
        </xdr:from>
        <xdr:to>
          <xdr:col>10</xdr:col>
          <xdr:colOff>87086</xdr:colOff>
          <xdr:row>267</xdr:row>
          <xdr:rowOff>65314</xdr:rowOff>
        </xdr:to>
        <xdr:sp macro="" textlink="">
          <xdr:nvSpPr>
            <xdr:cNvPr id="6922" name="Group Box 778" hidden="1">
              <a:extLst>
                <a:ext uri="{63B3BB69-23CF-44E3-9099-C40C66FF867C}">
                  <a14:compatExt spid="_x0000_s69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257</xdr:row>
          <xdr:rowOff>48986</xdr:rowOff>
        </xdr:from>
        <xdr:to>
          <xdr:col>10</xdr:col>
          <xdr:colOff>65314</xdr:colOff>
          <xdr:row>258</xdr:row>
          <xdr:rowOff>266700</xdr:rowOff>
        </xdr:to>
        <xdr:sp macro="" textlink="">
          <xdr:nvSpPr>
            <xdr:cNvPr id="6923" name="Option Button 779" hidden="1">
              <a:extLst>
                <a:ext uri="{63B3BB69-23CF-44E3-9099-C40C66FF867C}">
                  <a14:compatExt spid="_x0000_s69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259</xdr:row>
          <xdr:rowOff>27214</xdr:rowOff>
        </xdr:from>
        <xdr:to>
          <xdr:col>10</xdr:col>
          <xdr:colOff>48986</xdr:colOff>
          <xdr:row>260</xdr:row>
          <xdr:rowOff>255814</xdr:rowOff>
        </xdr:to>
        <xdr:sp macro="" textlink="">
          <xdr:nvSpPr>
            <xdr:cNvPr id="6924" name="Option Button 780" hidden="1">
              <a:extLst>
                <a:ext uri="{63B3BB69-23CF-44E3-9099-C40C66FF867C}">
                  <a14:compatExt spid="_x0000_s69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261</xdr:row>
          <xdr:rowOff>48986</xdr:rowOff>
        </xdr:from>
        <xdr:to>
          <xdr:col>10</xdr:col>
          <xdr:colOff>27214</xdr:colOff>
          <xdr:row>262</xdr:row>
          <xdr:rowOff>266700</xdr:rowOff>
        </xdr:to>
        <xdr:sp macro="" textlink="">
          <xdr:nvSpPr>
            <xdr:cNvPr id="6925" name="Option Button 781" hidden="1">
              <a:extLst>
                <a:ext uri="{63B3BB69-23CF-44E3-9099-C40C66FF867C}">
                  <a14:compatExt spid="_x0000_s69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263</xdr:row>
          <xdr:rowOff>48986</xdr:rowOff>
        </xdr:from>
        <xdr:to>
          <xdr:col>10</xdr:col>
          <xdr:colOff>27214</xdr:colOff>
          <xdr:row>264</xdr:row>
          <xdr:rowOff>277586</xdr:rowOff>
        </xdr:to>
        <xdr:sp macro="" textlink="">
          <xdr:nvSpPr>
            <xdr:cNvPr id="6926" name="Option Button 782" hidden="1">
              <a:extLst>
                <a:ext uri="{63B3BB69-23CF-44E3-9099-C40C66FF867C}">
                  <a14:compatExt spid="_x0000_s69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265</xdr:row>
          <xdr:rowOff>38100</xdr:rowOff>
        </xdr:from>
        <xdr:to>
          <xdr:col>10</xdr:col>
          <xdr:colOff>0</xdr:colOff>
          <xdr:row>266</xdr:row>
          <xdr:rowOff>266700</xdr:rowOff>
        </xdr:to>
        <xdr:sp macro="" textlink="">
          <xdr:nvSpPr>
            <xdr:cNvPr id="6927" name="Option Button 783" hidden="1">
              <a:extLst>
                <a:ext uri="{63B3BB69-23CF-44E3-9099-C40C66FF867C}">
                  <a14:compatExt spid="_x0000_s69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BLACK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255</xdr:row>
          <xdr:rowOff>48986</xdr:rowOff>
        </xdr:from>
        <xdr:to>
          <xdr:col>10</xdr:col>
          <xdr:colOff>65314</xdr:colOff>
          <xdr:row>256</xdr:row>
          <xdr:rowOff>266700</xdr:rowOff>
        </xdr:to>
        <xdr:sp macro="" textlink="">
          <xdr:nvSpPr>
            <xdr:cNvPr id="6928" name="Option Button 784" hidden="1">
              <a:extLst>
                <a:ext uri="{63B3BB69-23CF-44E3-9099-C40C66FF867C}">
                  <a14:compatExt spid="_x0000_s69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273</xdr:row>
          <xdr:rowOff>10886</xdr:rowOff>
        </xdr:from>
        <xdr:to>
          <xdr:col>10</xdr:col>
          <xdr:colOff>125186</xdr:colOff>
          <xdr:row>284</xdr:row>
          <xdr:rowOff>391886</xdr:rowOff>
        </xdr:to>
        <xdr:sp macro="" textlink="">
          <xdr:nvSpPr>
            <xdr:cNvPr id="6929" name="Group Box 785" hidden="1">
              <a:extLst>
                <a:ext uri="{63B3BB69-23CF-44E3-9099-C40C66FF867C}">
                  <a14:compatExt spid="_x0000_s69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275</xdr:row>
          <xdr:rowOff>48986</xdr:rowOff>
        </xdr:from>
        <xdr:to>
          <xdr:col>10</xdr:col>
          <xdr:colOff>10886</xdr:colOff>
          <xdr:row>276</xdr:row>
          <xdr:rowOff>266700</xdr:rowOff>
        </xdr:to>
        <xdr:sp macro="" textlink="">
          <xdr:nvSpPr>
            <xdr:cNvPr id="6930" name="Option Button 786" hidden="1">
              <a:extLst>
                <a:ext uri="{63B3BB69-23CF-44E3-9099-C40C66FF867C}">
                  <a14:compatExt spid="_x0000_s6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277</xdr:row>
          <xdr:rowOff>27214</xdr:rowOff>
        </xdr:from>
        <xdr:to>
          <xdr:col>10</xdr:col>
          <xdr:colOff>10886</xdr:colOff>
          <xdr:row>278</xdr:row>
          <xdr:rowOff>255814</xdr:rowOff>
        </xdr:to>
        <xdr:sp macro="" textlink="">
          <xdr:nvSpPr>
            <xdr:cNvPr id="6931" name="Option Button 787" hidden="1">
              <a:extLst>
                <a:ext uri="{63B3BB69-23CF-44E3-9099-C40C66FF867C}">
                  <a14:compatExt spid="_x0000_s6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279</xdr:row>
          <xdr:rowOff>48986</xdr:rowOff>
        </xdr:from>
        <xdr:to>
          <xdr:col>10</xdr:col>
          <xdr:colOff>27214</xdr:colOff>
          <xdr:row>280</xdr:row>
          <xdr:rowOff>266700</xdr:rowOff>
        </xdr:to>
        <xdr:sp macro="" textlink="">
          <xdr:nvSpPr>
            <xdr:cNvPr id="6932" name="Option Button 788" hidden="1">
              <a:extLst>
                <a:ext uri="{63B3BB69-23CF-44E3-9099-C40C66FF867C}">
                  <a14:compatExt spid="_x0000_s6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281</xdr:row>
          <xdr:rowOff>48986</xdr:rowOff>
        </xdr:from>
        <xdr:to>
          <xdr:col>10</xdr:col>
          <xdr:colOff>27214</xdr:colOff>
          <xdr:row>282</xdr:row>
          <xdr:rowOff>277586</xdr:rowOff>
        </xdr:to>
        <xdr:sp macro="" textlink="">
          <xdr:nvSpPr>
            <xdr:cNvPr id="6933" name="Option Button 789" hidden="1">
              <a:extLst>
                <a:ext uri="{63B3BB69-23CF-44E3-9099-C40C66FF867C}">
                  <a14:compatExt spid="_x0000_s6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283</xdr:row>
          <xdr:rowOff>10886</xdr:rowOff>
        </xdr:from>
        <xdr:to>
          <xdr:col>10</xdr:col>
          <xdr:colOff>103414</xdr:colOff>
          <xdr:row>284</xdr:row>
          <xdr:rowOff>239486</xdr:rowOff>
        </xdr:to>
        <xdr:sp macro="" textlink="">
          <xdr:nvSpPr>
            <xdr:cNvPr id="6934" name="Option Button 790" hidden="1">
              <a:extLst>
                <a:ext uri="{63B3BB69-23CF-44E3-9099-C40C66FF867C}">
                  <a14:compatExt spid="_x0000_s69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273</xdr:row>
          <xdr:rowOff>48986</xdr:rowOff>
        </xdr:from>
        <xdr:to>
          <xdr:col>10</xdr:col>
          <xdr:colOff>27214</xdr:colOff>
          <xdr:row>274</xdr:row>
          <xdr:rowOff>266700</xdr:rowOff>
        </xdr:to>
        <xdr:sp macro="" textlink="">
          <xdr:nvSpPr>
            <xdr:cNvPr id="6935" name="Option Button 791" hidden="1">
              <a:extLst>
                <a:ext uri="{63B3BB69-23CF-44E3-9099-C40C66FF867C}">
                  <a14:compatExt spid="_x0000_s69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291</xdr:row>
          <xdr:rowOff>0</xdr:rowOff>
        </xdr:from>
        <xdr:to>
          <xdr:col>10</xdr:col>
          <xdr:colOff>114300</xdr:colOff>
          <xdr:row>302</xdr:row>
          <xdr:rowOff>370114</xdr:rowOff>
        </xdr:to>
        <xdr:sp macro="" textlink="">
          <xdr:nvSpPr>
            <xdr:cNvPr id="6936" name="Group Box 792" hidden="1">
              <a:extLst>
                <a:ext uri="{63B3BB69-23CF-44E3-9099-C40C66FF867C}">
                  <a14:compatExt spid="_x0000_s6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293</xdr:row>
          <xdr:rowOff>48986</xdr:rowOff>
        </xdr:from>
        <xdr:to>
          <xdr:col>10</xdr:col>
          <xdr:colOff>27214</xdr:colOff>
          <xdr:row>294</xdr:row>
          <xdr:rowOff>266700</xdr:rowOff>
        </xdr:to>
        <xdr:sp macro="" textlink="">
          <xdr:nvSpPr>
            <xdr:cNvPr id="6937" name="Option Button 793" hidden="1">
              <a:extLst>
                <a:ext uri="{63B3BB69-23CF-44E3-9099-C40C66FF867C}">
                  <a14:compatExt spid="_x0000_s69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295</xdr:row>
          <xdr:rowOff>27214</xdr:rowOff>
        </xdr:from>
        <xdr:to>
          <xdr:col>10</xdr:col>
          <xdr:colOff>38100</xdr:colOff>
          <xdr:row>296</xdr:row>
          <xdr:rowOff>255814</xdr:rowOff>
        </xdr:to>
        <xdr:sp macro="" textlink="">
          <xdr:nvSpPr>
            <xdr:cNvPr id="6938" name="Option Button 794" hidden="1">
              <a:extLst>
                <a:ext uri="{63B3BB69-23CF-44E3-9099-C40C66FF867C}">
                  <a14:compatExt spid="_x0000_s69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297</xdr:row>
          <xdr:rowOff>48986</xdr:rowOff>
        </xdr:from>
        <xdr:to>
          <xdr:col>10</xdr:col>
          <xdr:colOff>10886</xdr:colOff>
          <xdr:row>298</xdr:row>
          <xdr:rowOff>266700</xdr:rowOff>
        </xdr:to>
        <xdr:sp macro="" textlink="">
          <xdr:nvSpPr>
            <xdr:cNvPr id="6939" name="Option Button 795" hidden="1">
              <a:extLst>
                <a:ext uri="{63B3BB69-23CF-44E3-9099-C40C66FF867C}">
                  <a14:compatExt spid="_x0000_s69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299</xdr:row>
          <xdr:rowOff>48986</xdr:rowOff>
        </xdr:from>
        <xdr:to>
          <xdr:col>10</xdr:col>
          <xdr:colOff>10886</xdr:colOff>
          <xdr:row>300</xdr:row>
          <xdr:rowOff>277586</xdr:rowOff>
        </xdr:to>
        <xdr:sp macro="" textlink="">
          <xdr:nvSpPr>
            <xdr:cNvPr id="6940" name="Option Button 796" hidden="1">
              <a:extLst>
                <a:ext uri="{63B3BB69-23CF-44E3-9099-C40C66FF867C}">
                  <a14:compatExt spid="_x0000_s6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301</xdr:row>
          <xdr:rowOff>10886</xdr:rowOff>
        </xdr:from>
        <xdr:to>
          <xdr:col>10</xdr:col>
          <xdr:colOff>103414</xdr:colOff>
          <xdr:row>302</xdr:row>
          <xdr:rowOff>239486</xdr:rowOff>
        </xdr:to>
        <xdr:sp macro="" textlink="">
          <xdr:nvSpPr>
            <xdr:cNvPr id="6941" name="Option Button 797" hidden="1">
              <a:extLst>
                <a:ext uri="{63B3BB69-23CF-44E3-9099-C40C66FF867C}">
                  <a14:compatExt spid="_x0000_s6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291</xdr:row>
          <xdr:rowOff>48986</xdr:rowOff>
        </xdr:from>
        <xdr:to>
          <xdr:col>10</xdr:col>
          <xdr:colOff>38100</xdr:colOff>
          <xdr:row>292</xdr:row>
          <xdr:rowOff>266700</xdr:rowOff>
        </xdr:to>
        <xdr:sp macro="" textlink="">
          <xdr:nvSpPr>
            <xdr:cNvPr id="6942" name="Option Button 798" hidden="1">
              <a:extLst>
                <a:ext uri="{63B3BB69-23CF-44E3-9099-C40C66FF867C}">
                  <a14:compatExt spid="_x0000_s69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309</xdr:row>
          <xdr:rowOff>0</xdr:rowOff>
        </xdr:from>
        <xdr:to>
          <xdr:col>10</xdr:col>
          <xdr:colOff>114300</xdr:colOff>
          <xdr:row>321</xdr:row>
          <xdr:rowOff>48986</xdr:rowOff>
        </xdr:to>
        <xdr:sp macro="" textlink="">
          <xdr:nvSpPr>
            <xdr:cNvPr id="6943" name="Group Box 799" hidden="1">
              <a:extLst>
                <a:ext uri="{63B3BB69-23CF-44E3-9099-C40C66FF867C}">
                  <a14:compatExt spid="_x0000_s69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311</xdr:row>
          <xdr:rowOff>48986</xdr:rowOff>
        </xdr:from>
        <xdr:to>
          <xdr:col>10</xdr:col>
          <xdr:colOff>27214</xdr:colOff>
          <xdr:row>312</xdr:row>
          <xdr:rowOff>266700</xdr:rowOff>
        </xdr:to>
        <xdr:sp macro="" textlink="">
          <xdr:nvSpPr>
            <xdr:cNvPr id="6944" name="Option Button 800" hidden="1">
              <a:extLst>
                <a:ext uri="{63B3BB69-23CF-44E3-9099-C40C66FF867C}">
                  <a14:compatExt spid="_x0000_s69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313</xdr:row>
          <xdr:rowOff>27214</xdr:rowOff>
        </xdr:from>
        <xdr:to>
          <xdr:col>9</xdr:col>
          <xdr:colOff>190500</xdr:colOff>
          <xdr:row>314</xdr:row>
          <xdr:rowOff>255814</xdr:rowOff>
        </xdr:to>
        <xdr:sp macro="" textlink="">
          <xdr:nvSpPr>
            <xdr:cNvPr id="6945" name="Option Button 801" hidden="1">
              <a:extLst>
                <a:ext uri="{63B3BB69-23CF-44E3-9099-C40C66FF867C}">
                  <a14:compatExt spid="_x0000_s69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315</xdr:row>
          <xdr:rowOff>48986</xdr:rowOff>
        </xdr:from>
        <xdr:to>
          <xdr:col>10</xdr:col>
          <xdr:colOff>27214</xdr:colOff>
          <xdr:row>316</xdr:row>
          <xdr:rowOff>266700</xdr:rowOff>
        </xdr:to>
        <xdr:sp macro="" textlink="">
          <xdr:nvSpPr>
            <xdr:cNvPr id="6946" name="Option Button 802" hidden="1">
              <a:extLst>
                <a:ext uri="{63B3BB69-23CF-44E3-9099-C40C66FF867C}">
                  <a14:compatExt spid="_x0000_s69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317</xdr:row>
          <xdr:rowOff>48986</xdr:rowOff>
        </xdr:from>
        <xdr:to>
          <xdr:col>10</xdr:col>
          <xdr:colOff>27214</xdr:colOff>
          <xdr:row>318</xdr:row>
          <xdr:rowOff>277586</xdr:rowOff>
        </xdr:to>
        <xdr:sp macro="" textlink="">
          <xdr:nvSpPr>
            <xdr:cNvPr id="6947" name="Option Button 803" hidden="1">
              <a:extLst>
                <a:ext uri="{63B3BB69-23CF-44E3-9099-C40C66FF867C}">
                  <a14:compatExt spid="_x0000_s69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319</xdr:row>
          <xdr:rowOff>10886</xdr:rowOff>
        </xdr:from>
        <xdr:to>
          <xdr:col>9</xdr:col>
          <xdr:colOff>179614</xdr:colOff>
          <xdr:row>321</xdr:row>
          <xdr:rowOff>27214</xdr:rowOff>
        </xdr:to>
        <xdr:sp macro="" textlink="">
          <xdr:nvSpPr>
            <xdr:cNvPr id="6948" name="Option Button 804" hidden="1">
              <a:extLst>
                <a:ext uri="{63B3BB69-23CF-44E3-9099-C40C66FF867C}">
                  <a14:compatExt spid="_x0000_s69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309</xdr:row>
          <xdr:rowOff>38100</xdr:rowOff>
        </xdr:from>
        <xdr:to>
          <xdr:col>10</xdr:col>
          <xdr:colOff>38100</xdr:colOff>
          <xdr:row>310</xdr:row>
          <xdr:rowOff>255814</xdr:rowOff>
        </xdr:to>
        <xdr:sp macro="" textlink="">
          <xdr:nvSpPr>
            <xdr:cNvPr id="6949" name="Option Button 805" hidden="1">
              <a:extLst>
                <a:ext uri="{63B3BB69-23CF-44E3-9099-C40C66FF867C}">
                  <a14:compatExt spid="_x0000_s69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327</xdr:row>
          <xdr:rowOff>0</xdr:rowOff>
        </xdr:from>
        <xdr:to>
          <xdr:col>10</xdr:col>
          <xdr:colOff>103414</xdr:colOff>
          <xdr:row>338</xdr:row>
          <xdr:rowOff>391886</xdr:rowOff>
        </xdr:to>
        <xdr:sp macro="" textlink="">
          <xdr:nvSpPr>
            <xdr:cNvPr id="6950" name="Group Box 806" hidden="1">
              <a:extLst>
                <a:ext uri="{63B3BB69-23CF-44E3-9099-C40C66FF867C}">
                  <a14:compatExt spid="_x0000_s69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329</xdr:row>
          <xdr:rowOff>48986</xdr:rowOff>
        </xdr:from>
        <xdr:to>
          <xdr:col>10</xdr:col>
          <xdr:colOff>10886</xdr:colOff>
          <xdr:row>330</xdr:row>
          <xdr:rowOff>266700</xdr:rowOff>
        </xdr:to>
        <xdr:sp macro="" textlink="">
          <xdr:nvSpPr>
            <xdr:cNvPr id="6951" name="Option Button 807" hidden="1">
              <a:extLst>
                <a:ext uri="{63B3BB69-23CF-44E3-9099-C40C66FF867C}">
                  <a14:compatExt spid="_x0000_s6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331</xdr:row>
          <xdr:rowOff>38100</xdr:rowOff>
        </xdr:from>
        <xdr:to>
          <xdr:col>10</xdr:col>
          <xdr:colOff>38100</xdr:colOff>
          <xdr:row>332</xdr:row>
          <xdr:rowOff>266700</xdr:rowOff>
        </xdr:to>
        <xdr:sp macro="" textlink="">
          <xdr:nvSpPr>
            <xdr:cNvPr id="6952" name="Option Button 808" hidden="1">
              <a:extLst>
                <a:ext uri="{63B3BB69-23CF-44E3-9099-C40C66FF867C}">
                  <a14:compatExt spid="_x0000_s69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333</xdr:row>
          <xdr:rowOff>48986</xdr:rowOff>
        </xdr:from>
        <xdr:to>
          <xdr:col>10</xdr:col>
          <xdr:colOff>10886</xdr:colOff>
          <xdr:row>334</xdr:row>
          <xdr:rowOff>266700</xdr:rowOff>
        </xdr:to>
        <xdr:sp macro="" textlink="">
          <xdr:nvSpPr>
            <xdr:cNvPr id="6953" name="Option Button 809" hidden="1">
              <a:extLst>
                <a:ext uri="{63B3BB69-23CF-44E3-9099-C40C66FF867C}">
                  <a14:compatExt spid="_x0000_s69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335</xdr:row>
          <xdr:rowOff>48986</xdr:rowOff>
        </xdr:from>
        <xdr:to>
          <xdr:col>10</xdr:col>
          <xdr:colOff>10886</xdr:colOff>
          <xdr:row>336</xdr:row>
          <xdr:rowOff>277586</xdr:rowOff>
        </xdr:to>
        <xdr:sp macro="" textlink="">
          <xdr:nvSpPr>
            <xdr:cNvPr id="6954" name="Option Button 810" hidden="1">
              <a:extLst>
                <a:ext uri="{63B3BB69-23CF-44E3-9099-C40C66FF867C}">
                  <a14:compatExt spid="_x0000_s69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337</xdr:row>
          <xdr:rowOff>10886</xdr:rowOff>
        </xdr:from>
        <xdr:to>
          <xdr:col>9</xdr:col>
          <xdr:colOff>179614</xdr:colOff>
          <xdr:row>338</xdr:row>
          <xdr:rowOff>239486</xdr:rowOff>
        </xdr:to>
        <xdr:sp macro="" textlink="">
          <xdr:nvSpPr>
            <xdr:cNvPr id="6955" name="Option Button 811" hidden="1">
              <a:extLst>
                <a:ext uri="{63B3BB69-23CF-44E3-9099-C40C66FF867C}">
                  <a14:compatExt spid="_x0000_s69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327</xdr:row>
          <xdr:rowOff>48986</xdr:rowOff>
        </xdr:from>
        <xdr:to>
          <xdr:col>10</xdr:col>
          <xdr:colOff>27214</xdr:colOff>
          <xdr:row>328</xdr:row>
          <xdr:rowOff>266700</xdr:rowOff>
        </xdr:to>
        <xdr:sp macro="" textlink="">
          <xdr:nvSpPr>
            <xdr:cNvPr id="6956" name="Option Button 812" hidden="1">
              <a:extLst>
                <a:ext uri="{63B3BB69-23CF-44E3-9099-C40C66FF867C}">
                  <a14:compatExt spid="_x0000_s69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345</xdr:row>
          <xdr:rowOff>0</xdr:rowOff>
        </xdr:from>
        <xdr:to>
          <xdr:col>10</xdr:col>
          <xdr:colOff>103414</xdr:colOff>
          <xdr:row>357</xdr:row>
          <xdr:rowOff>65314</xdr:rowOff>
        </xdr:to>
        <xdr:sp macro="" textlink="">
          <xdr:nvSpPr>
            <xdr:cNvPr id="6957" name="Group Box 813" hidden="1">
              <a:extLst>
                <a:ext uri="{63B3BB69-23CF-44E3-9099-C40C66FF867C}">
                  <a14:compatExt spid="_x0000_s69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347</xdr:row>
          <xdr:rowOff>48986</xdr:rowOff>
        </xdr:from>
        <xdr:to>
          <xdr:col>10</xdr:col>
          <xdr:colOff>10886</xdr:colOff>
          <xdr:row>348</xdr:row>
          <xdr:rowOff>266700</xdr:rowOff>
        </xdr:to>
        <xdr:sp macro="" textlink="">
          <xdr:nvSpPr>
            <xdr:cNvPr id="6958" name="Option Button 814" hidden="1">
              <a:extLst>
                <a:ext uri="{63B3BB69-23CF-44E3-9099-C40C66FF867C}">
                  <a14:compatExt spid="_x0000_s69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349</xdr:row>
          <xdr:rowOff>27214</xdr:rowOff>
        </xdr:from>
        <xdr:to>
          <xdr:col>10</xdr:col>
          <xdr:colOff>0</xdr:colOff>
          <xdr:row>350</xdr:row>
          <xdr:rowOff>255814</xdr:rowOff>
        </xdr:to>
        <xdr:sp macro="" textlink="">
          <xdr:nvSpPr>
            <xdr:cNvPr id="6959" name="Option Button 815" hidden="1">
              <a:extLst>
                <a:ext uri="{63B3BB69-23CF-44E3-9099-C40C66FF867C}">
                  <a14:compatExt spid="_x0000_s69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351</xdr:row>
          <xdr:rowOff>48986</xdr:rowOff>
        </xdr:from>
        <xdr:to>
          <xdr:col>10</xdr:col>
          <xdr:colOff>27214</xdr:colOff>
          <xdr:row>352</xdr:row>
          <xdr:rowOff>266700</xdr:rowOff>
        </xdr:to>
        <xdr:sp macro="" textlink="">
          <xdr:nvSpPr>
            <xdr:cNvPr id="6960" name="Option Button 816" hidden="1">
              <a:extLst>
                <a:ext uri="{63B3BB69-23CF-44E3-9099-C40C66FF867C}">
                  <a14:compatExt spid="_x0000_s69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353</xdr:row>
          <xdr:rowOff>48986</xdr:rowOff>
        </xdr:from>
        <xdr:to>
          <xdr:col>10</xdr:col>
          <xdr:colOff>10886</xdr:colOff>
          <xdr:row>355</xdr:row>
          <xdr:rowOff>65314</xdr:rowOff>
        </xdr:to>
        <xdr:sp macro="" textlink="">
          <xdr:nvSpPr>
            <xdr:cNvPr id="6961" name="Option Button 817" hidden="1">
              <a:extLst>
                <a:ext uri="{63B3BB69-23CF-44E3-9099-C40C66FF867C}">
                  <a14:compatExt spid="_x0000_s69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355</xdr:row>
          <xdr:rowOff>27214</xdr:rowOff>
        </xdr:from>
        <xdr:to>
          <xdr:col>10</xdr:col>
          <xdr:colOff>27214</xdr:colOff>
          <xdr:row>357</xdr:row>
          <xdr:rowOff>38100</xdr:rowOff>
        </xdr:to>
        <xdr:sp macro="" textlink="">
          <xdr:nvSpPr>
            <xdr:cNvPr id="6962" name="Option Button 818" hidden="1">
              <a:extLst>
                <a:ext uri="{63B3BB69-23CF-44E3-9099-C40C66FF867C}">
                  <a14:compatExt spid="_x0000_s69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345</xdr:row>
          <xdr:rowOff>48986</xdr:rowOff>
        </xdr:from>
        <xdr:to>
          <xdr:col>10</xdr:col>
          <xdr:colOff>10886</xdr:colOff>
          <xdr:row>346</xdr:row>
          <xdr:rowOff>266700</xdr:rowOff>
        </xdr:to>
        <xdr:sp macro="" textlink="">
          <xdr:nvSpPr>
            <xdr:cNvPr id="6963" name="Option Button 819" hidden="1">
              <a:extLst>
                <a:ext uri="{63B3BB69-23CF-44E3-9099-C40C66FF867C}">
                  <a14:compatExt spid="_x0000_s69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363</xdr:row>
          <xdr:rowOff>0</xdr:rowOff>
        </xdr:from>
        <xdr:to>
          <xdr:col>10</xdr:col>
          <xdr:colOff>114300</xdr:colOff>
          <xdr:row>379</xdr:row>
          <xdr:rowOff>0</xdr:rowOff>
        </xdr:to>
        <xdr:sp macro="" textlink="">
          <xdr:nvSpPr>
            <xdr:cNvPr id="6964" name="Group Box 820" hidden="1">
              <a:extLst>
                <a:ext uri="{63B3BB69-23CF-44E3-9099-C40C66FF867C}">
                  <a14:compatExt spid="_x0000_s6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365</xdr:row>
          <xdr:rowOff>48986</xdr:rowOff>
        </xdr:from>
        <xdr:to>
          <xdr:col>10</xdr:col>
          <xdr:colOff>48986</xdr:colOff>
          <xdr:row>366</xdr:row>
          <xdr:rowOff>266700</xdr:rowOff>
        </xdr:to>
        <xdr:sp macro="" textlink="">
          <xdr:nvSpPr>
            <xdr:cNvPr id="6965" name="Option Button 821" hidden="1">
              <a:extLst>
                <a:ext uri="{63B3BB69-23CF-44E3-9099-C40C66FF867C}">
                  <a14:compatExt spid="_x0000_s69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367</xdr:row>
          <xdr:rowOff>27214</xdr:rowOff>
        </xdr:from>
        <xdr:to>
          <xdr:col>10</xdr:col>
          <xdr:colOff>10886</xdr:colOff>
          <xdr:row>368</xdr:row>
          <xdr:rowOff>255814</xdr:rowOff>
        </xdr:to>
        <xdr:sp macro="" textlink="">
          <xdr:nvSpPr>
            <xdr:cNvPr id="6966" name="Option Button 822" hidden="1">
              <a:extLst>
                <a:ext uri="{63B3BB69-23CF-44E3-9099-C40C66FF867C}">
                  <a14:compatExt spid="_x0000_s69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369</xdr:row>
          <xdr:rowOff>48986</xdr:rowOff>
        </xdr:from>
        <xdr:to>
          <xdr:col>10</xdr:col>
          <xdr:colOff>27214</xdr:colOff>
          <xdr:row>370</xdr:row>
          <xdr:rowOff>266700</xdr:rowOff>
        </xdr:to>
        <xdr:sp macro="" textlink="">
          <xdr:nvSpPr>
            <xdr:cNvPr id="6967" name="Option Button 823" hidden="1">
              <a:extLst>
                <a:ext uri="{63B3BB69-23CF-44E3-9099-C40C66FF867C}">
                  <a14:compatExt spid="_x0000_s69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373</xdr:row>
          <xdr:rowOff>0</xdr:rowOff>
        </xdr:from>
        <xdr:to>
          <xdr:col>10</xdr:col>
          <xdr:colOff>10886</xdr:colOff>
          <xdr:row>374</xdr:row>
          <xdr:rowOff>228600</xdr:rowOff>
        </xdr:to>
        <xdr:sp macro="" textlink="">
          <xdr:nvSpPr>
            <xdr:cNvPr id="6968" name="Option Button 824" hidden="1">
              <a:extLst>
                <a:ext uri="{63B3BB69-23CF-44E3-9099-C40C66FF867C}">
                  <a14:compatExt spid="_x0000_s69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376</xdr:row>
          <xdr:rowOff>38100</xdr:rowOff>
        </xdr:from>
        <xdr:to>
          <xdr:col>10</xdr:col>
          <xdr:colOff>38100</xdr:colOff>
          <xdr:row>378</xdr:row>
          <xdr:rowOff>48986</xdr:rowOff>
        </xdr:to>
        <xdr:sp macro="" textlink="">
          <xdr:nvSpPr>
            <xdr:cNvPr id="6969" name="Option Button 825" hidden="1">
              <a:extLst>
                <a:ext uri="{63B3BB69-23CF-44E3-9099-C40C66FF867C}">
                  <a14:compatExt spid="_x0000_s69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363</xdr:row>
          <xdr:rowOff>48986</xdr:rowOff>
        </xdr:from>
        <xdr:to>
          <xdr:col>10</xdr:col>
          <xdr:colOff>27214</xdr:colOff>
          <xdr:row>365</xdr:row>
          <xdr:rowOff>38100</xdr:rowOff>
        </xdr:to>
        <xdr:sp macro="" textlink="">
          <xdr:nvSpPr>
            <xdr:cNvPr id="6970" name="Option Button 826" hidden="1">
              <a:extLst>
                <a:ext uri="{63B3BB69-23CF-44E3-9099-C40C66FF867C}">
                  <a14:compatExt spid="_x0000_s6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384</xdr:row>
          <xdr:rowOff>0</xdr:rowOff>
        </xdr:from>
        <xdr:to>
          <xdr:col>10</xdr:col>
          <xdr:colOff>103414</xdr:colOff>
          <xdr:row>398</xdr:row>
          <xdr:rowOff>0</xdr:rowOff>
        </xdr:to>
        <xdr:sp macro="" textlink="">
          <xdr:nvSpPr>
            <xdr:cNvPr id="6971" name="Group Box 827" hidden="1">
              <a:extLst>
                <a:ext uri="{63B3BB69-23CF-44E3-9099-C40C66FF867C}">
                  <a14:compatExt spid="_x0000_s69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386</xdr:row>
          <xdr:rowOff>48986</xdr:rowOff>
        </xdr:from>
        <xdr:to>
          <xdr:col>10</xdr:col>
          <xdr:colOff>48986</xdr:colOff>
          <xdr:row>387</xdr:row>
          <xdr:rowOff>266700</xdr:rowOff>
        </xdr:to>
        <xdr:sp macro="" textlink="">
          <xdr:nvSpPr>
            <xdr:cNvPr id="6972" name="Option Button 828" hidden="1">
              <a:extLst>
                <a:ext uri="{63B3BB69-23CF-44E3-9099-C40C66FF867C}">
                  <a14:compatExt spid="_x0000_s6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389</xdr:row>
          <xdr:rowOff>27214</xdr:rowOff>
        </xdr:from>
        <xdr:to>
          <xdr:col>10</xdr:col>
          <xdr:colOff>10886</xdr:colOff>
          <xdr:row>390</xdr:row>
          <xdr:rowOff>255814</xdr:rowOff>
        </xdr:to>
        <xdr:sp macro="" textlink="">
          <xdr:nvSpPr>
            <xdr:cNvPr id="6973" name="Option Button 829" hidden="1">
              <a:extLst>
                <a:ext uri="{63B3BB69-23CF-44E3-9099-C40C66FF867C}">
                  <a14:compatExt spid="_x0000_s69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391</xdr:row>
          <xdr:rowOff>38100</xdr:rowOff>
        </xdr:from>
        <xdr:to>
          <xdr:col>10</xdr:col>
          <xdr:colOff>27214</xdr:colOff>
          <xdr:row>393</xdr:row>
          <xdr:rowOff>38100</xdr:rowOff>
        </xdr:to>
        <xdr:sp macro="" textlink="">
          <xdr:nvSpPr>
            <xdr:cNvPr id="6974" name="Option Button 830" hidden="1">
              <a:extLst>
                <a:ext uri="{63B3BB69-23CF-44E3-9099-C40C66FF867C}">
                  <a14:compatExt spid="_x0000_s6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393</xdr:row>
          <xdr:rowOff>38100</xdr:rowOff>
        </xdr:from>
        <xdr:to>
          <xdr:col>10</xdr:col>
          <xdr:colOff>27214</xdr:colOff>
          <xdr:row>395</xdr:row>
          <xdr:rowOff>38100</xdr:rowOff>
        </xdr:to>
        <xdr:sp macro="" textlink="">
          <xdr:nvSpPr>
            <xdr:cNvPr id="6975" name="Option Button 831" hidden="1">
              <a:extLst>
                <a:ext uri="{63B3BB69-23CF-44E3-9099-C40C66FF867C}">
                  <a14:compatExt spid="_x0000_s6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395</xdr:row>
          <xdr:rowOff>38100</xdr:rowOff>
        </xdr:from>
        <xdr:to>
          <xdr:col>10</xdr:col>
          <xdr:colOff>0</xdr:colOff>
          <xdr:row>397</xdr:row>
          <xdr:rowOff>38100</xdr:rowOff>
        </xdr:to>
        <xdr:sp macro="" textlink="">
          <xdr:nvSpPr>
            <xdr:cNvPr id="6976" name="Option Button 832" hidden="1">
              <a:extLst>
                <a:ext uri="{63B3BB69-23CF-44E3-9099-C40C66FF867C}">
                  <a14:compatExt spid="_x0000_s6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384</xdr:row>
          <xdr:rowOff>48986</xdr:rowOff>
        </xdr:from>
        <xdr:to>
          <xdr:col>10</xdr:col>
          <xdr:colOff>27214</xdr:colOff>
          <xdr:row>385</xdr:row>
          <xdr:rowOff>266700</xdr:rowOff>
        </xdr:to>
        <xdr:sp macro="" textlink="">
          <xdr:nvSpPr>
            <xdr:cNvPr id="6977" name="Option Button 833" hidden="1">
              <a:extLst>
                <a:ext uri="{63B3BB69-23CF-44E3-9099-C40C66FF867C}">
                  <a14:compatExt spid="_x0000_s6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403</xdr:row>
          <xdr:rowOff>0</xdr:rowOff>
        </xdr:from>
        <xdr:to>
          <xdr:col>10</xdr:col>
          <xdr:colOff>103414</xdr:colOff>
          <xdr:row>416</xdr:row>
          <xdr:rowOff>0</xdr:rowOff>
        </xdr:to>
        <xdr:sp macro="" textlink="">
          <xdr:nvSpPr>
            <xdr:cNvPr id="6978" name="Group Box 834" hidden="1">
              <a:extLst>
                <a:ext uri="{63B3BB69-23CF-44E3-9099-C40C66FF867C}">
                  <a14:compatExt spid="_x0000_s69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405</xdr:row>
          <xdr:rowOff>48986</xdr:rowOff>
        </xdr:from>
        <xdr:to>
          <xdr:col>9</xdr:col>
          <xdr:colOff>179614</xdr:colOff>
          <xdr:row>406</xdr:row>
          <xdr:rowOff>266700</xdr:rowOff>
        </xdr:to>
        <xdr:sp macro="" textlink="">
          <xdr:nvSpPr>
            <xdr:cNvPr id="6979" name="Option Button 835" hidden="1">
              <a:extLst>
                <a:ext uri="{63B3BB69-23CF-44E3-9099-C40C66FF867C}">
                  <a14:compatExt spid="_x0000_s69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407</xdr:row>
          <xdr:rowOff>27214</xdr:rowOff>
        </xdr:from>
        <xdr:to>
          <xdr:col>10</xdr:col>
          <xdr:colOff>0</xdr:colOff>
          <xdr:row>408</xdr:row>
          <xdr:rowOff>255814</xdr:rowOff>
        </xdr:to>
        <xdr:sp macro="" textlink="">
          <xdr:nvSpPr>
            <xdr:cNvPr id="6980" name="Option Button 836" hidden="1">
              <a:extLst>
                <a:ext uri="{63B3BB69-23CF-44E3-9099-C40C66FF867C}">
                  <a14:compatExt spid="_x0000_s69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409</xdr:row>
          <xdr:rowOff>48986</xdr:rowOff>
        </xdr:from>
        <xdr:to>
          <xdr:col>10</xdr:col>
          <xdr:colOff>38100</xdr:colOff>
          <xdr:row>410</xdr:row>
          <xdr:rowOff>266700</xdr:rowOff>
        </xdr:to>
        <xdr:sp macro="" textlink="">
          <xdr:nvSpPr>
            <xdr:cNvPr id="6981" name="Option Button 837" hidden="1">
              <a:extLst>
                <a:ext uri="{63B3BB69-23CF-44E3-9099-C40C66FF867C}">
                  <a14:compatExt spid="_x0000_s69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411</xdr:row>
          <xdr:rowOff>48986</xdr:rowOff>
        </xdr:from>
        <xdr:to>
          <xdr:col>10</xdr:col>
          <xdr:colOff>27214</xdr:colOff>
          <xdr:row>412</xdr:row>
          <xdr:rowOff>277586</xdr:rowOff>
        </xdr:to>
        <xdr:sp macro="" textlink="">
          <xdr:nvSpPr>
            <xdr:cNvPr id="6982" name="Option Button 838" hidden="1">
              <a:extLst>
                <a:ext uri="{63B3BB69-23CF-44E3-9099-C40C66FF867C}">
                  <a14:compatExt spid="_x0000_s69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413</xdr:row>
          <xdr:rowOff>10886</xdr:rowOff>
        </xdr:from>
        <xdr:to>
          <xdr:col>9</xdr:col>
          <xdr:colOff>190500</xdr:colOff>
          <xdr:row>415</xdr:row>
          <xdr:rowOff>10886</xdr:rowOff>
        </xdr:to>
        <xdr:sp macro="" textlink="">
          <xdr:nvSpPr>
            <xdr:cNvPr id="6983" name="Option Button 839" hidden="1">
              <a:extLst>
                <a:ext uri="{63B3BB69-23CF-44E3-9099-C40C66FF867C}">
                  <a14:compatExt spid="_x0000_s69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403</xdr:row>
          <xdr:rowOff>48986</xdr:rowOff>
        </xdr:from>
        <xdr:to>
          <xdr:col>10</xdr:col>
          <xdr:colOff>38100</xdr:colOff>
          <xdr:row>404</xdr:row>
          <xdr:rowOff>266700</xdr:rowOff>
        </xdr:to>
        <xdr:sp macro="" textlink="">
          <xdr:nvSpPr>
            <xdr:cNvPr id="6984" name="Option Button 840" hidden="1">
              <a:extLst>
                <a:ext uri="{63B3BB69-23CF-44E3-9099-C40C66FF867C}">
                  <a14:compatExt spid="_x0000_s69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421</xdr:row>
          <xdr:rowOff>0</xdr:rowOff>
        </xdr:from>
        <xdr:to>
          <xdr:col>10</xdr:col>
          <xdr:colOff>65314</xdr:colOff>
          <xdr:row>433</xdr:row>
          <xdr:rowOff>65314</xdr:rowOff>
        </xdr:to>
        <xdr:sp macro="" textlink="">
          <xdr:nvSpPr>
            <xdr:cNvPr id="6985" name="Group Box 841" hidden="1">
              <a:extLst>
                <a:ext uri="{63B3BB69-23CF-44E3-9099-C40C66FF867C}">
                  <a14:compatExt spid="_x0000_s69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423</xdr:row>
          <xdr:rowOff>48986</xdr:rowOff>
        </xdr:from>
        <xdr:to>
          <xdr:col>9</xdr:col>
          <xdr:colOff>190500</xdr:colOff>
          <xdr:row>424</xdr:row>
          <xdr:rowOff>266700</xdr:rowOff>
        </xdr:to>
        <xdr:sp macro="" textlink="">
          <xdr:nvSpPr>
            <xdr:cNvPr id="6986" name="Option Button 842" hidden="1">
              <a:extLst>
                <a:ext uri="{63B3BB69-23CF-44E3-9099-C40C66FF867C}">
                  <a14:compatExt spid="_x0000_s69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425</xdr:row>
          <xdr:rowOff>27214</xdr:rowOff>
        </xdr:from>
        <xdr:to>
          <xdr:col>10</xdr:col>
          <xdr:colOff>0</xdr:colOff>
          <xdr:row>426</xdr:row>
          <xdr:rowOff>255814</xdr:rowOff>
        </xdr:to>
        <xdr:sp macro="" textlink="">
          <xdr:nvSpPr>
            <xdr:cNvPr id="6987" name="Option Button 843" hidden="1">
              <a:extLst>
                <a:ext uri="{63B3BB69-23CF-44E3-9099-C40C66FF867C}">
                  <a14:compatExt spid="_x0000_s69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427</xdr:row>
          <xdr:rowOff>48986</xdr:rowOff>
        </xdr:from>
        <xdr:to>
          <xdr:col>10</xdr:col>
          <xdr:colOff>27214</xdr:colOff>
          <xdr:row>428</xdr:row>
          <xdr:rowOff>266700</xdr:rowOff>
        </xdr:to>
        <xdr:sp macro="" textlink="">
          <xdr:nvSpPr>
            <xdr:cNvPr id="6988" name="Option Button 844" hidden="1">
              <a:extLst>
                <a:ext uri="{63B3BB69-23CF-44E3-9099-C40C66FF867C}">
                  <a14:compatExt spid="_x0000_s69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429</xdr:row>
          <xdr:rowOff>48986</xdr:rowOff>
        </xdr:from>
        <xdr:to>
          <xdr:col>9</xdr:col>
          <xdr:colOff>125186</xdr:colOff>
          <xdr:row>431</xdr:row>
          <xdr:rowOff>48986</xdr:rowOff>
        </xdr:to>
        <xdr:sp macro="" textlink="">
          <xdr:nvSpPr>
            <xdr:cNvPr id="6989" name="Option Button 845" hidden="1">
              <a:extLst>
                <a:ext uri="{63B3BB69-23CF-44E3-9099-C40C66FF867C}">
                  <a14:compatExt spid="_x0000_s69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431</xdr:row>
          <xdr:rowOff>10886</xdr:rowOff>
        </xdr:from>
        <xdr:to>
          <xdr:col>9</xdr:col>
          <xdr:colOff>179614</xdr:colOff>
          <xdr:row>433</xdr:row>
          <xdr:rowOff>27214</xdr:rowOff>
        </xdr:to>
        <xdr:sp macro="" textlink="">
          <xdr:nvSpPr>
            <xdr:cNvPr id="6990" name="Option Button 846" hidden="1">
              <a:extLst>
                <a:ext uri="{63B3BB69-23CF-44E3-9099-C40C66FF867C}">
                  <a14:compatExt spid="_x0000_s69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421</xdr:row>
          <xdr:rowOff>48986</xdr:rowOff>
        </xdr:from>
        <xdr:to>
          <xdr:col>9</xdr:col>
          <xdr:colOff>163286</xdr:colOff>
          <xdr:row>423</xdr:row>
          <xdr:rowOff>38100</xdr:rowOff>
        </xdr:to>
        <xdr:sp macro="" textlink="">
          <xdr:nvSpPr>
            <xdr:cNvPr id="6991" name="Option Button 847" hidden="1">
              <a:extLst>
                <a:ext uri="{63B3BB69-23CF-44E3-9099-C40C66FF867C}">
                  <a14:compatExt spid="_x0000_s69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439</xdr:row>
          <xdr:rowOff>0</xdr:rowOff>
        </xdr:from>
        <xdr:to>
          <xdr:col>10</xdr:col>
          <xdr:colOff>114300</xdr:colOff>
          <xdr:row>451</xdr:row>
          <xdr:rowOff>27214</xdr:rowOff>
        </xdr:to>
        <xdr:sp macro="" textlink="">
          <xdr:nvSpPr>
            <xdr:cNvPr id="6992" name="Group Box 848" hidden="1">
              <a:extLst>
                <a:ext uri="{63B3BB69-23CF-44E3-9099-C40C66FF867C}">
                  <a14:compatExt spid="_x0000_s6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441</xdr:row>
          <xdr:rowOff>48986</xdr:rowOff>
        </xdr:from>
        <xdr:to>
          <xdr:col>10</xdr:col>
          <xdr:colOff>10886</xdr:colOff>
          <xdr:row>442</xdr:row>
          <xdr:rowOff>266700</xdr:rowOff>
        </xdr:to>
        <xdr:sp macro="" textlink="">
          <xdr:nvSpPr>
            <xdr:cNvPr id="6993" name="Option Button 849" hidden="1">
              <a:extLst>
                <a:ext uri="{63B3BB69-23CF-44E3-9099-C40C66FF867C}">
                  <a14:compatExt spid="_x0000_s69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443</xdr:row>
          <xdr:rowOff>27214</xdr:rowOff>
        </xdr:from>
        <xdr:to>
          <xdr:col>10</xdr:col>
          <xdr:colOff>48986</xdr:colOff>
          <xdr:row>444</xdr:row>
          <xdr:rowOff>255814</xdr:rowOff>
        </xdr:to>
        <xdr:sp macro="" textlink="">
          <xdr:nvSpPr>
            <xdr:cNvPr id="6994" name="Option Button 850" hidden="1">
              <a:extLst>
                <a:ext uri="{63B3BB69-23CF-44E3-9099-C40C66FF867C}">
                  <a14:compatExt spid="_x0000_s69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445</xdr:row>
          <xdr:rowOff>48986</xdr:rowOff>
        </xdr:from>
        <xdr:to>
          <xdr:col>10</xdr:col>
          <xdr:colOff>27214</xdr:colOff>
          <xdr:row>446</xdr:row>
          <xdr:rowOff>266700</xdr:rowOff>
        </xdr:to>
        <xdr:sp macro="" textlink="">
          <xdr:nvSpPr>
            <xdr:cNvPr id="6995" name="Option Button 851" hidden="1">
              <a:extLst>
                <a:ext uri="{63B3BB69-23CF-44E3-9099-C40C66FF867C}">
                  <a14:compatExt spid="_x0000_s69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447</xdr:row>
          <xdr:rowOff>48986</xdr:rowOff>
        </xdr:from>
        <xdr:to>
          <xdr:col>10</xdr:col>
          <xdr:colOff>10886</xdr:colOff>
          <xdr:row>448</xdr:row>
          <xdr:rowOff>277586</xdr:rowOff>
        </xdr:to>
        <xdr:sp macro="" textlink="">
          <xdr:nvSpPr>
            <xdr:cNvPr id="6996" name="Option Button 852" hidden="1">
              <a:extLst>
                <a:ext uri="{63B3BB69-23CF-44E3-9099-C40C66FF867C}">
                  <a14:compatExt spid="_x0000_s69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449</xdr:row>
          <xdr:rowOff>10886</xdr:rowOff>
        </xdr:from>
        <xdr:to>
          <xdr:col>10</xdr:col>
          <xdr:colOff>48986</xdr:colOff>
          <xdr:row>450</xdr:row>
          <xdr:rowOff>228600</xdr:rowOff>
        </xdr:to>
        <xdr:sp macro="" textlink="">
          <xdr:nvSpPr>
            <xdr:cNvPr id="6997" name="Option Button 853" hidden="1">
              <a:extLst>
                <a:ext uri="{63B3BB69-23CF-44E3-9099-C40C66FF867C}">
                  <a14:compatExt spid="_x0000_s69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439</xdr:row>
          <xdr:rowOff>48986</xdr:rowOff>
        </xdr:from>
        <xdr:to>
          <xdr:col>10</xdr:col>
          <xdr:colOff>65314</xdr:colOff>
          <xdr:row>440</xdr:row>
          <xdr:rowOff>266700</xdr:rowOff>
        </xdr:to>
        <xdr:sp macro="" textlink="">
          <xdr:nvSpPr>
            <xdr:cNvPr id="6998" name="Option Button 854" hidden="1">
              <a:extLst>
                <a:ext uri="{63B3BB69-23CF-44E3-9099-C40C66FF867C}">
                  <a14:compatExt spid="_x0000_s69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457</xdr:row>
          <xdr:rowOff>0</xdr:rowOff>
        </xdr:from>
        <xdr:to>
          <xdr:col>10</xdr:col>
          <xdr:colOff>114300</xdr:colOff>
          <xdr:row>469</xdr:row>
          <xdr:rowOff>65314</xdr:rowOff>
        </xdr:to>
        <xdr:sp macro="" textlink="">
          <xdr:nvSpPr>
            <xdr:cNvPr id="6999" name="Group Box 855" hidden="1">
              <a:extLst>
                <a:ext uri="{63B3BB69-23CF-44E3-9099-C40C66FF867C}">
                  <a14:compatExt spid="_x0000_s69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459</xdr:row>
          <xdr:rowOff>48986</xdr:rowOff>
        </xdr:from>
        <xdr:to>
          <xdr:col>10</xdr:col>
          <xdr:colOff>76200</xdr:colOff>
          <xdr:row>460</xdr:row>
          <xdr:rowOff>266700</xdr:rowOff>
        </xdr:to>
        <xdr:sp macro="" textlink="">
          <xdr:nvSpPr>
            <xdr:cNvPr id="7000" name="Option Button 856" hidden="1">
              <a:extLst>
                <a:ext uri="{63B3BB69-23CF-44E3-9099-C40C66FF867C}">
                  <a14:compatExt spid="_x0000_s7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461</xdr:row>
          <xdr:rowOff>27214</xdr:rowOff>
        </xdr:from>
        <xdr:to>
          <xdr:col>10</xdr:col>
          <xdr:colOff>48986</xdr:colOff>
          <xdr:row>462</xdr:row>
          <xdr:rowOff>255814</xdr:rowOff>
        </xdr:to>
        <xdr:sp macro="" textlink="">
          <xdr:nvSpPr>
            <xdr:cNvPr id="7001" name="Option Button 857" hidden="1">
              <a:extLst>
                <a:ext uri="{63B3BB69-23CF-44E3-9099-C40C66FF867C}">
                  <a14:compatExt spid="_x0000_s70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463</xdr:row>
          <xdr:rowOff>48986</xdr:rowOff>
        </xdr:from>
        <xdr:to>
          <xdr:col>10</xdr:col>
          <xdr:colOff>27214</xdr:colOff>
          <xdr:row>464</xdr:row>
          <xdr:rowOff>266700</xdr:rowOff>
        </xdr:to>
        <xdr:sp macro="" textlink="">
          <xdr:nvSpPr>
            <xdr:cNvPr id="7002" name="Option Button 858" hidden="1">
              <a:extLst>
                <a:ext uri="{63B3BB69-23CF-44E3-9099-C40C66FF867C}">
                  <a14:compatExt spid="_x0000_s70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465</xdr:row>
          <xdr:rowOff>48986</xdr:rowOff>
        </xdr:from>
        <xdr:to>
          <xdr:col>10</xdr:col>
          <xdr:colOff>10886</xdr:colOff>
          <xdr:row>466</xdr:row>
          <xdr:rowOff>277586</xdr:rowOff>
        </xdr:to>
        <xdr:sp macro="" textlink="">
          <xdr:nvSpPr>
            <xdr:cNvPr id="7003" name="Option Button 859" hidden="1">
              <a:extLst>
                <a:ext uri="{63B3BB69-23CF-44E3-9099-C40C66FF867C}">
                  <a14:compatExt spid="_x0000_s70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467</xdr:row>
          <xdr:rowOff>10886</xdr:rowOff>
        </xdr:from>
        <xdr:to>
          <xdr:col>10</xdr:col>
          <xdr:colOff>27214</xdr:colOff>
          <xdr:row>469</xdr:row>
          <xdr:rowOff>10886</xdr:rowOff>
        </xdr:to>
        <xdr:sp macro="" textlink="">
          <xdr:nvSpPr>
            <xdr:cNvPr id="7004" name="Option Button 860" hidden="1">
              <a:extLst>
                <a:ext uri="{63B3BB69-23CF-44E3-9099-C40C66FF867C}">
                  <a14:compatExt spid="_x0000_s70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457</xdr:row>
          <xdr:rowOff>48986</xdr:rowOff>
        </xdr:from>
        <xdr:to>
          <xdr:col>10</xdr:col>
          <xdr:colOff>76200</xdr:colOff>
          <xdr:row>458</xdr:row>
          <xdr:rowOff>266700</xdr:rowOff>
        </xdr:to>
        <xdr:sp macro="" textlink="">
          <xdr:nvSpPr>
            <xdr:cNvPr id="7005" name="Option Button 861" hidden="1">
              <a:extLst>
                <a:ext uri="{63B3BB69-23CF-44E3-9099-C40C66FF867C}">
                  <a14:compatExt spid="_x0000_s70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496</xdr:row>
          <xdr:rowOff>239486</xdr:rowOff>
        </xdr:from>
        <xdr:to>
          <xdr:col>10</xdr:col>
          <xdr:colOff>114300</xdr:colOff>
          <xdr:row>510</xdr:row>
          <xdr:rowOff>0</xdr:rowOff>
        </xdr:to>
        <xdr:sp macro="" textlink="">
          <xdr:nvSpPr>
            <xdr:cNvPr id="7013" name="Group Box 869" hidden="1">
              <a:extLst>
                <a:ext uri="{63B3BB69-23CF-44E3-9099-C40C66FF867C}">
                  <a14:compatExt spid="_x0000_s70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499</xdr:row>
          <xdr:rowOff>48986</xdr:rowOff>
        </xdr:from>
        <xdr:to>
          <xdr:col>10</xdr:col>
          <xdr:colOff>27214</xdr:colOff>
          <xdr:row>500</xdr:row>
          <xdr:rowOff>266700</xdr:rowOff>
        </xdr:to>
        <xdr:sp macro="" textlink="">
          <xdr:nvSpPr>
            <xdr:cNvPr id="7014" name="Option Button 870" hidden="1">
              <a:extLst>
                <a:ext uri="{63B3BB69-23CF-44E3-9099-C40C66FF867C}">
                  <a14:compatExt spid="_x0000_s70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501</xdr:row>
          <xdr:rowOff>27214</xdr:rowOff>
        </xdr:from>
        <xdr:to>
          <xdr:col>10</xdr:col>
          <xdr:colOff>0</xdr:colOff>
          <xdr:row>502</xdr:row>
          <xdr:rowOff>255814</xdr:rowOff>
        </xdr:to>
        <xdr:sp macro="" textlink="">
          <xdr:nvSpPr>
            <xdr:cNvPr id="7015" name="Option Button 871" hidden="1">
              <a:extLst>
                <a:ext uri="{63B3BB69-23CF-44E3-9099-C40C66FF867C}">
                  <a14:compatExt spid="_x0000_s70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503</xdr:row>
          <xdr:rowOff>48986</xdr:rowOff>
        </xdr:from>
        <xdr:to>
          <xdr:col>10</xdr:col>
          <xdr:colOff>27214</xdr:colOff>
          <xdr:row>504</xdr:row>
          <xdr:rowOff>266700</xdr:rowOff>
        </xdr:to>
        <xdr:sp macro="" textlink="">
          <xdr:nvSpPr>
            <xdr:cNvPr id="7016" name="Option Button 872" hidden="1">
              <a:extLst>
                <a:ext uri="{63B3BB69-23CF-44E3-9099-C40C66FF867C}">
                  <a14:compatExt spid="_x0000_s70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505</xdr:row>
          <xdr:rowOff>48986</xdr:rowOff>
        </xdr:from>
        <xdr:to>
          <xdr:col>10</xdr:col>
          <xdr:colOff>27214</xdr:colOff>
          <xdr:row>506</xdr:row>
          <xdr:rowOff>277586</xdr:rowOff>
        </xdr:to>
        <xdr:sp macro="" textlink="">
          <xdr:nvSpPr>
            <xdr:cNvPr id="7017" name="Option Button 873" hidden="1">
              <a:extLst>
                <a:ext uri="{63B3BB69-23CF-44E3-9099-C40C66FF867C}">
                  <a14:compatExt spid="_x0000_s7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507</xdr:row>
          <xdr:rowOff>10886</xdr:rowOff>
        </xdr:from>
        <xdr:to>
          <xdr:col>10</xdr:col>
          <xdr:colOff>27214</xdr:colOff>
          <xdr:row>508</xdr:row>
          <xdr:rowOff>239486</xdr:rowOff>
        </xdr:to>
        <xdr:sp macro="" textlink="">
          <xdr:nvSpPr>
            <xdr:cNvPr id="7018" name="Option Button 874" hidden="1">
              <a:extLst>
                <a:ext uri="{63B3BB69-23CF-44E3-9099-C40C66FF867C}">
                  <a14:compatExt spid="_x0000_s7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497</xdr:row>
          <xdr:rowOff>48986</xdr:rowOff>
        </xdr:from>
        <xdr:to>
          <xdr:col>10</xdr:col>
          <xdr:colOff>27214</xdr:colOff>
          <xdr:row>499</xdr:row>
          <xdr:rowOff>38100</xdr:rowOff>
        </xdr:to>
        <xdr:sp macro="" textlink="">
          <xdr:nvSpPr>
            <xdr:cNvPr id="7019" name="Option Button 875" hidden="1">
              <a:extLst>
                <a:ext uri="{63B3BB69-23CF-44E3-9099-C40C66FF867C}">
                  <a14:compatExt spid="_x0000_s7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515</xdr:row>
          <xdr:rowOff>0</xdr:rowOff>
        </xdr:from>
        <xdr:to>
          <xdr:col>10</xdr:col>
          <xdr:colOff>103414</xdr:colOff>
          <xdr:row>530</xdr:row>
          <xdr:rowOff>10886</xdr:rowOff>
        </xdr:to>
        <xdr:sp macro="" textlink="">
          <xdr:nvSpPr>
            <xdr:cNvPr id="7020" name="Group Box 876" hidden="1">
              <a:extLst>
                <a:ext uri="{63B3BB69-23CF-44E3-9099-C40C66FF867C}">
                  <a14:compatExt spid="_x0000_s7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517</xdr:row>
          <xdr:rowOff>48986</xdr:rowOff>
        </xdr:from>
        <xdr:to>
          <xdr:col>10</xdr:col>
          <xdr:colOff>27214</xdr:colOff>
          <xdr:row>518</xdr:row>
          <xdr:rowOff>266700</xdr:rowOff>
        </xdr:to>
        <xdr:sp macro="" textlink="">
          <xdr:nvSpPr>
            <xdr:cNvPr id="7021" name="Option Button 877" hidden="1">
              <a:extLst>
                <a:ext uri="{63B3BB69-23CF-44E3-9099-C40C66FF867C}">
                  <a14:compatExt spid="_x0000_s70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520</xdr:row>
          <xdr:rowOff>0</xdr:rowOff>
        </xdr:from>
        <xdr:to>
          <xdr:col>10</xdr:col>
          <xdr:colOff>38100</xdr:colOff>
          <xdr:row>521</xdr:row>
          <xdr:rowOff>228600</xdr:rowOff>
        </xdr:to>
        <xdr:sp macro="" textlink="">
          <xdr:nvSpPr>
            <xdr:cNvPr id="7022" name="Option Button 878" hidden="1">
              <a:extLst>
                <a:ext uri="{63B3BB69-23CF-44E3-9099-C40C66FF867C}">
                  <a14:compatExt spid="_x0000_s70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523</xdr:row>
          <xdr:rowOff>27214</xdr:rowOff>
        </xdr:from>
        <xdr:to>
          <xdr:col>10</xdr:col>
          <xdr:colOff>10886</xdr:colOff>
          <xdr:row>524</xdr:row>
          <xdr:rowOff>239486</xdr:rowOff>
        </xdr:to>
        <xdr:sp macro="" textlink="">
          <xdr:nvSpPr>
            <xdr:cNvPr id="7023" name="Option Button 879" hidden="1">
              <a:extLst>
                <a:ext uri="{63B3BB69-23CF-44E3-9099-C40C66FF867C}">
                  <a14:compatExt spid="_x0000_s70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525</xdr:row>
          <xdr:rowOff>27214</xdr:rowOff>
        </xdr:from>
        <xdr:to>
          <xdr:col>10</xdr:col>
          <xdr:colOff>10886</xdr:colOff>
          <xdr:row>527</xdr:row>
          <xdr:rowOff>27214</xdr:rowOff>
        </xdr:to>
        <xdr:sp macro="" textlink="">
          <xdr:nvSpPr>
            <xdr:cNvPr id="7024" name="Option Button 880" hidden="1">
              <a:extLst>
                <a:ext uri="{63B3BB69-23CF-44E3-9099-C40C66FF867C}">
                  <a14:compatExt spid="_x0000_s70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527</xdr:row>
          <xdr:rowOff>27214</xdr:rowOff>
        </xdr:from>
        <xdr:to>
          <xdr:col>10</xdr:col>
          <xdr:colOff>10886</xdr:colOff>
          <xdr:row>529</xdr:row>
          <xdr:rowOff>38100</xdr:rowOff>
        </xdr:to>
        <xdr:sp macro="" textlink="">
          <xdr:nvSpPr>
            <xdr:cNvPr id="7025" name="Option Button 881" hidden="1">
              <a:extLst>
                <a:ext uri="{63B3BB69-23CF-44E3-9099-C40C66FF867C}">
                  <a14:compatExt spid="_x0000_s7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515</xdr:row>
          <xdr:rowOff>48986</xdr:rowOff>
        </xdr:from>
        <xdr:to>
          <xdr:col>10</xdr:col>
          <xdr:colOff>10886</xdr:colOff>
          <xdr:row>517</xdr:row>
          <xdr:rowOff>38100</xdr:rowOff>
        </xdr:to>
        <xdr:sp macro="" textlink="">
          <xdr:nvSpPr>
            <xdr:cNvPr id="7026" name="Option Button 882" hidden="1">
              <a:extLst>
                <a:ext uri="{63B3BB69-23CF-44E3-9099-C40C66FF867C}">
                  <a14:compatExt spid="_x0000_s7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475</xdr:row>
          <xdr:rowOff>10886</xdr:rowOff>
        </xdr:from>
        <xdr:to>
          <xdr:col>43</xdr:col>
          <xdr:colOff>179614</xdr:colOff>
          <xdr:row>477</xdr:row>
          <xdr:rowOff>38100</xdr:rowOff>
        </xdr:to>
        <xdr:sp macro="" textlink="">
          <xdr:nvSpPr>
            <xdr:cNvPr id="7028" name="Group Box 884" hidden="1">
              <a:extLst>
                <a:ext uri="{63B3BB69-23CF-44E3-9099-C40C66FF867C}">
                  <a14:compatExt spid="_x0000_s7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477</xdr:row>
          <xdr:rowOff>38100</xdr:rowOff>
        </xdr:from>
        <xdr:to>
          <xdr:col>43</xdr:col>
          <xdr:colOff>179614</xdr:colOff>
          <xdr:row>479</xdr:row>
          <xdr:rowOff>38100</xdr:rowOff>
        </xdr:to>
        <xdr:sp macro="" textlink="">
          <xdr:nvSpPr>
            <xdr:cNvPr id="7029" name="Group Box 885" hidden="1">
              <a:extLst>
                <a:ext uri="{63B3BB69-23CF-44E3-9099-C40C66FF867C}">
                  <a14:compatExt spid="_x0000_s7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479</xdr:row>
          <xdr:rowOff>38100</xdr:rowOff>
        </xdr:from>
        <xdr:to>
          <xdr:col>43</xdr:col>
          <xdr:colOff>179614</xdr:colOff>
          <xdr:row>481</xdr:row>
          <xdr:rowOff>48986</xdr:rowOff>
        </xdr:to>
        <xdr:sp macro="" textlink="">
          <xdr:nvSpPr>
            <xdr:cNvPr id="7030" name="Group Box 886" hidden="1">
              <a:extLst>
                <a:ext uri="{63B3BB69-23CF-44E3-9099-C40C66FF867C}">
                  <a14:compatExt spid="_x0000_s7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481</xdr:row>
          <xdr:rowOff>48986</xdr:rowOff>
        </xdr:from>
        <xdr:to>
          <xdr:col>43</xdr:col>
          <xdr:colOff>179614</xdr:colOff>
          <xdr:row>483</xdr:row>
          <xdr:rowOff>38100</xdr:rowOff>
        </xdr:to>
        <xdr:sp macro="" textlink="">
          <xdr:nvSpPr>
            <xdr:cNvPr id="7031" name="Group Box 887" hidden="1">
              <a:extLst>
                <a:ext uri="{63B3BB69-23CF-44E3-9099-C40C66FF867C}">
                  <a14:compatExt spid="_x0000_s7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483</xdr:row>
          <xdr:rowOff>38100</xdr:rowOff>
        </xdr:from>
        <xdr:to>
          <xdr:col>43</xdr:col>
          <xdr:colOff>179614</xdr:colOff>
          <xdr:row>485</xdr:row>
          <xdr:rowOff>38100</xdr:rowOff>
        </xdr:to>
        <xdr:sp macro="" textlink="">
          <xdr:nvSpPr>
            <xdr:cNvPr id="7032" name="Group Box 888" hidden="1">
              <a:extLst>
                <a:ext uri="{63B3BB69-23CF-44E3-9099-C40C66FF867C}">
                  <a14:compatExt spid="_x0000_s7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485</xdr:row>
          <xdr:rowOff>38100</xdr:rowOff>
        </xdr:from>
        <xdr:to>
          <xdr:col>43</xdr:col>
          <xdr:colOff>179614</xdr:colOff>
          <xdr:row>487</xdr:row>
          <xdr:rowOff>65314</xdr:rowOff>
        </xdr:to>
        <xdr:sp macro="" textlink="">
          <xdr:nvSpPr>
            <xdr:cNvPr id="7033" name="Group Box 889" hidden="1">
              <a:extLst>
                <a:ext uri="{63B3BB69-23CF-44E3-9099-C40C66FF867C}">
                  <a14:compatExt spid="_x0000_s7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536</xdr:row>
          <xdr:rowOff>0</xdr:rowOff>
        </xdr:from>
        <xdr:to>
          <xdr:col>10</xdr:col>
          <xdr:colOff>103414</xdr:colOff>
          <xdr:row>548</xdr:row>
          <xdr:rowOff>0</xdr:rowOff>
        </xdr:to>
        <xdr:sp macro="" textlink="">
          <xdr:nvSpPr>
            <xdr:cNvPr id="7034" name="Group Box 890" hidden="1">
              <a:extLst>
                <a:ext uri="{63B3BB69-23CF-44E3-9099-C40C66FF867C}">
                  <a14:compatExt spid="_x0000_s7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536</xdr:row>
          <xdr:rowOff>65314</xdr:rowOff>
        </xdr:from>
        <xdr:to>
          <xdr:col>10</xdr:col>
          <xdr:colOff>48986</xdr:colOff>
          <xdr:row>537</xdr:row>
          <xdr:rowOff>277586</xdr:rowOff>
        </xdr:to>
        <xdr:sp macro="" textlink="">
          <xdr:nvSpPr>
            <xdr:cNvPr id="7035" name="Option Button 891" hidden="1">
              <a:extLst>
                <a:ext uri="{63B3BB69-23CF-44E3-9099-C40C66FF867C}">
                  <a14:compatExt spid="_x0000_s70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538</xdr:row>
          <xdr:rowOff>65314</xdr:rowOff>
        </xdr:from>
        <xdr:to>
          <xdr:col>10</xdr:col>
          <xdr:colOff>48986</xdr:colOff>
          <xdr:row>539</xdr:row>
          <xdr:rowOff>293914</xdr:rowOff>
        </xdr:to>
        <xdr:sp macro="" textlink="">
          <xdr:nvSpPr>
            <xdr:cNvPr id="7036" name="Option Button 892" hidden="1">
              <a:extLst>
                <a:ext uri="{63B3BB69-23CF-44E3-9099-C40C66FF867C}">
                  <a14:compatExt spid="_x0000_s70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540</xdr:row>
          <xdr:rowOff>48986</xdr:rowOff>
        </xdr:from>
        <xdr:to>
          <xdr:col>10</xdr:col>
          <xdr:colOff>27214</xdr:colOff>
          <xdr:row>541</xdr:row>
          <xdr:rowOff>266700</xdr:rowOff>
        </xdr:to>
        <xdr:sp macro="" textlink="">
          <xdr:nvSpPr>
            <xdr:cNvPr id="7037" name="Option Button 893" hidden="1">
              <a:extLst>
                <a:ext uri="{63B3BB69-23CF-44E3-9099-C40C66FF867C}">
                  <a14:compatExt spid="_x0000_s70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542</xdr:row>
          <xdr:rowOff>48986</xdr:rowOff>
        </xdr:from>
        <xdr:to>
          <xdr:col>10</xdr:col>
          <xdr:colOff>10886</xdr:colOff>
          <xdr:row>543</xdr:row>
          <xdr:rowOff>277586</xdr:rowOff>
        </xdr:to>
        <xdr:sp macro="" textlink="">
          <xdr:nvSpPr>
            <xdr:cNvPr id="7038" name="Option Button 894" hidden="1">
              <a:extLst>
                <a:ext uri="{63B3BB69-23CF-44E3-9099-C40C66FF867C}">
                  <a14:compatExt spid="_x0000_s7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545</xdr:row>
          <xdr:rowOff>0</xdr:rowOff>
        </xdr:from>
        <xdr:to>
          <xdr:col>10</xdr:col>
          <xdr:colOff>27214</xdr:colOff>
          <xdr:row>546</xdr:row>
          <xdr:rowOff>228600</xdr:rowOff>
        </xdr:to>
        <xdr:sp macro="" textlink="">
          <xdr:nvSpPr>
            <xdr:cNvPr id="7039" name="Option Button 895" hidden="1">
              <a:extLst>
                <a:ext uri="{63B3BB69-23CF-44E3-9099-C40C66FF867C}">
                  <a14:compatExt spid="_x0000_s7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553</xdr:row>
          <xdr:rowOff>0</xdr:rowOff>
        </xdr:from>
        <xdr:to>
          <xdr:col>10</xdr:col>
          <xdr:colOff>87086</xdr:colOff>
          <xdr:row>563</xdr:row>
          <xdr:rowOff>27214</xdr:rowOff>
        </xdr:to>
        <xdr:sp macro="" textlink="">
          <xdr:nvSpPr>
            <xdr:cNvPr id="7040" name="Group Box 896" hidden="1">
              <a:extLst>
                <a:ext uri="{63B3BB69-23CF-44E3-9099-C40C66FF867C}">
                  <a14:compatExt spid="_x0000_s7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553</xdr:row>
          <xdr:rowOff>65314</xdr:rowOff>
        </xdr:from>
        <xdr:to>
          <xdr:col>10</xdr:col>
          <xdr:colOff>48986</xdr:colOff>
          <xdr:row>555</xdr:row>
          <xdr:rowOff>48986</xdr:rowOff>
        </xdr:to>
        <xdr:sp macro="" textlink="">
          <xdr:nvSpPr>
            <xdr:cNvPr id="7041" name="Option Button 897" hidden="1">
              <a:extLst>
                <a:ext uri="{63B3BB69-23CF-44E3-9099-C40C66FF867C}">
                  <a14:compatExt spid="_x0000_s7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555</xdr:row>
          <xdr:rowOff>65314</xdr:rowOff>
        </xdr:from>
        <xdr:to>
          <xdr:col>10</xdr:col>
          <xdr:colOff>0</xdr:colOff>
          <xdr:row>556</xdr:row>
          <xdr:rowOff>293914</xdr:rowOff>
        </xdr:to>
        <xdr:sp macro="" textlink="">
          <xdr:nvSpPr>
            <xdr:cNvPr id="7042" name="Option Button 898" hidden="1">
              <a:extLst>
                <a:ext uri="{63B3BB69-23CF-44E3-9099-C40C66FF867C}">
                  <a14:compatExt spid="_x0000_s7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557</xdr:row>
          <xdr:rowOff>48986</xdr:rowOff>
        </xdr:from>
        <xdr:to>
          <xdr:col>10</xdr:col>
          <xdr:colOff>10886</xdr:colOff>
          <xdr:row>558</xdr:row>
          <xdr:rowOff>266700</xdr:rowOff>
        </xdr:to>
        <xdr:sp macro="" textlink="">
          <xdr:nvSpPr>
            <xdr:cNvPr id="7043" name="Option Button 899" hidden="1">
              <a:extLst>
                <a:ext uri="{63B3BB69-23CF-44E3-9099-C40C66FF867C}">
                  <a14:compatExt spid="_x0000_s70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559</xdr:row>
          <xdr:rowOff>48986</xdr:rowOff>
        </xdr:from>
        <xdr:to>
          <xdr:col>10</xdr:col>
          <xdr:colOff>10886</xdr:colOff>
          <xdr:row>560</xdr:row>
          <xdr:rowOff>277586</xdr:rowOff>
        </xdr:to>
        <xdr:sp macro="" textlink="">
          <xdr:nvSpPr>
            <xdr:cNvPr id="7044" name="Option Button 900" hidden="1">
              <a:extLst>
                <a:ext uri="{63B3BB69-23CF-44E3-9099-C40C66FF867C}">
                  <a14:compatExt spid="_x0000_s7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561</xdr:row>
          <xdr:rowOff>48986</xdr:rowOff>
        </xdr:from>
        <xdr:to>
          <xdr:col>10</xdr:col>
          <xdr:colOff>10886</xdr:colOff>
          <xdr:row>562</xdr:row>
          <xdr:rowOff>277586</xdr:rowOff>
        </xdr:to>
        <xdr:sp macro="" textlink="">
          <xdr:nvSpPr>
            <xdr:cNvPr id="7045" name="Option Button 901" hidden="1">
              <a:extLst>
                <a:ext uri="{63B3BB69-23CF-44E3-9099-C40C66FF867C}">
                  <a14:compatExt spid="_x0000_s7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65314</xdr:colOff>
          <xdr:row>568</xdr:row>
          <xdr:rowOff>217714</xdr:rowOff>
        </xdr:from>
        <xdr:to>
          <xdr:col>10</xdr:col>
          <xdr:colOff>76200</xdr:colOff>
          <xdr:row>581</xdr:row>
          <xdr:rowOff>27214</xdr:rowOff>
        </xdr:to>
        <xdr:sp macro="" textlink="">
          <xdr:nvSpPr>
            <xdr:cNvPr id="7046" name="Group Box 902" hidden="1">
              <a:extLst>
                <a:ext uri="{63B3BB69-23CF-44E3-9099-C40C66FF867C}">
                  <a14:compatExt spid="_x0000_s70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571</xdr:row>
          <xdr:rowOff>48986</xdr:rowOff>
        </xdr:from>
        <xdr:to>
          <xdr:col>10</xdr:col>
          <xdr:colOff>10886</xdr:colOff>
          <xdr:row>572</xdr:row>
          <xdr:rowOff>266700</xdr:rowOff>
        </xdr:to>
        <xdr:sp macro="" textlink="">
          <xdr:nvSpPr>
            <xdr:cNvPr id="7047" name="Option Button 903" hidden="1">
              <a:extLst>
                <a:ext uri="{63B3BB69-23CF-44E3-9099-C40C66FF867C}">
                  <a14:compatExt spid="_x0000_s70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573</xdr:row>
          <xdr:rowOff>27214</xdr:rowOff>
        </xdr:from>
        <xdr:to>
          <xdr:col>10</xdr:col>
          <xdr:colOff>27214</xdr:colOff>
          <xdr:row>574</xdr:row>
          <xdr:rowOff>255814</xdr:rowOff>
        </xdr:to>
        <xdr:sp macro="" textlink="">
          <xdr:nvSpPr>
            <xdr:cNvPr id="7048" name="Option Button 904" hidden="1">
              <a:extLst>
                <a:ext uri="{63B3BB69-23CF-44E3-9099-C40C66FF867C}">
                  <a14:compatExt spid="_x0000_s70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575</xdr:row>
          <xdr:rowOff>38100</xdr:rowOff>
        </xdr:from>
        <xdr:to>
          <xdr:col>10</xdr:col>
          <xdr:colOff>27214</xdr:colOff>
          <xdr:row>576</xdr:row>
          <xdr:rowOff>255814</xdr:rowOff>
        </xdr:to>
        <xdr:sp macro="" textlink="">
          <xdr:nvSpPr>
            <xdr:cNvPr id="7049" name="Option Button 905" hidden="1">
              <a:extLst>
                <a:ext uri="{63B3BB69-23CF-44E3-9099-C40C66FF867C}">
                  <a14:compatExt spid="_x0000_s7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577</xdr:row>
          <xdr:rowOff>38100</xdr:rowOff>
        </xdr:from>
        <xdr:to>
          <xdr:col>10</xdr:col>
          <xdr:colOff>38100</xdr:colOff>
          <xdr:row>578</xdr:row>
          <xdr:rowOff>266700</xdr:rowOff>
        </xdr:to>
        <xdr:sp macro="" textlink="">
          <xdr:nvSpPr>
            <xdr:cNvPr id="7050" name="Option Button 906" hidden="1">
              <a:extLst>
                <a:ext uri="{63B3BB69-23CF-44E3-9099-C40C66FF867C}">
                  <a14:compatExt spid="_x0000_s70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698</xdr:row>
          <xdr:rowOff>0</xdr:rowOff>
        </xdr:from>
        <xdr:to>
          <xdr:col>10</xdr:col>
          <xdr:colOff>125186</xdr:colOff>
          <xdr:row>709</xdr:row>
          <xdr:rowOff>0</xdr:rowOff>
        </xdr:to>
        <xdr:sp macro="" textlink="">
          <xdr:nvSpPr>
            <xdr:cNvPr id="7052" name="Group Box 908" hidden="1">
              <a:extLst>
                <a:ext uri="{63B3BB69-23CF-44E3-9099-C40C66FF867C}">
                  <a14:compatExt spid="_x0000_s7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698</xdr:row>
          <xdr:rowOff>65314</xdr:rowOff>
        </xdr:from>
        <xdr:to>
          <xdr:col>10</xdr:col>
          <xdr:colOff>103414</xdr:colOff>
          <xdr:row>699</xdr:row>
          <xdr:rowOff>277586</xdr:rowOff>
        </xdr:to>
        <xdr:sp macro="" textlink="">
          <xdr:nvSpPr>
            <xdr:cNvPr id="7053" name="Option Button 909" hidden="1">
              <a:extLst>
                <a:ext uri="{63B3BB69-23CF-44E3-9099-C40C66FF867C}">
                  <a14:compatExt spid="_x0000_s70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700</xdr:row>
          <xdr:rowOff>65314</xdr:rowOff>
        </xdr:from>
        <xdr:to>
          <xdr:col>10</xdr:col>
          <xdr:colOff>48986</xdr:colOff>
          <xdr:row>701</xdr:row>
          <xdr:rowOff>293914</xdr:rowOff>
        </xdr:to>
        <xdr:sp macro="" textlink="">
          <xdr:nvSpPr>
            <xdr:cNvPr id="7054" name="Option Button 910" hidden="1">
              <a:extLst>
                <a:ext uri="{63B3BB69-23CF-44E3-9099-C40C66FF867C}">
                  <a14:compatExt spid="_x0000_s70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702</xdr:row>
          <xdr:rowOff>48986</xdr:rowOff>
        </xdr:from>
        <xdr:to>
          <xdr:col>10</xdr:col>
          <xdr:colOff>27214</xdr:colOff>
          <xdr:row>703</xdr:row>
          <xdr:rowOff>266700</xdr:rowOff>
        </xdr:to>
        <xdr:sp macro="" textlink="">
          <xdr:nvSpPr>
            <xdr:cNvPr id="7055" name="Option Button 911" hidden="1">
              <a:extLst>
                <a:ext uri="{63B3BB69-23CF-44E3-9099-C40C66FF867C}">
                  <a14:compatExt spid="_x0000_s70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704</xdr:row>
          <xdr:rowOff>48986</xdr:rowOff>
        </xdr:from>
        <xdr:to>
          <xdr:col>10</xdr:col>
          <xdr:colOff>27214</xdr:colOff>
          <xdr:row>706</xdr:row>
          <xdr:rowOff>48986</xdr:rowOff>
        </xdr:to>
        <xdr:sp macro="" textlink="">
          <xdr:nvSpPr>
            <xdr:cNvPr id="7056" name="Option Button 912" hidden="1">
              <a:extLst>
                <a:ext uri="{63B3BB69-23CF-44E3-9099-C40C66FF867C}">
                  <a14:compatExt spid="_x0000_s70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706</xdr:row>
          <xdr:rowOff>48986</xdr:rowOff>
        </xdr:from>
        <xdr:to>
          <xdr:col>10</xdr:col>
          <xdr:colOff>38100</xdr:colOff>
          <xdr:row>708</xdr:row>
          <xdr:rowOff>48986</xdr:rowOff>
        </xdr:to>
        <xdr:sp macro="" textlink="">
          <xdr:nvSpPr>
            <xdr:cNvPr id="7057" name="Option Button 913" hidden="1">
              <a:extLst>
                <a:ext uri="{63B3BB69-23CF-44E3-9099-C40C66FF867C}">
                  <a14:compatExt spid="_x0000_s70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682</xdr:row>
          <xdr:rowOff>0</xdr:rowOff>
        </xdr:from>
        <xdr:to>
          <xdr:col>10</xdr:col>
          <xdr:colOff>125186</xdr:colOff>
          <xdr:row>693</xdr:row>
          <xdr:rowOff>0</xdr:rowOff>
        </xdr:to>
        <xdr:sp macro="" textlink="">
          <xdr:nvSpPr>
            <xdr:cNvPr id="7058" name="Group Box 914" hidden="1">
              <a:extLst>
                <a:ext uri="{63B3BB69-23CF-44E3-9099-C40C66FF867C}">
                  <a14:compatExt spid="_x0000_s7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682</xdr:row>
          <xdr:rowOff>65314</xdr:rowOff>
        </xdr:from>
        <xdr:to>
          <xdr:col>10</xdr:col>
          <xdr:colOff>65314</xdr:colOff>
          <xdr:row>684</xdr:row>
          <xdr:rowOff>48986</xdr:rowOff>
        </xdr:to>
        <xdr:sp macro="" textlink="">
          <xdr:nvSpPr>
            <xdr:cNvPr id="7059" name="Option Button 915" hidden="1">
              <a:extLst>
                <a:ext uri="{63B3BB69-23CF-44E3-9099-C40C66FF867C}">
                  <a14:compatExt spid="_x0000_s70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684</xdr:row>
          <xdr:rowOff>65314</xdr:rowOff>
        </xdr:from>
        <xdr:to>
          <xdr:col>10</xdr:col>
          <xdr:colOff>65314</xdr:colOff>
          <xdr:row>685</xdr:row>
          <xdr:rowOff>293914</xdr:rowOff>
        </xdr:to>
        <xdr:sp macro="" textlink="">
          <xdr:nvSpPr>
            <xdr:cNvPr id="7060" name="Option Button 916" hidden="1">
              <a:extLst>
                <a:ext uri="{63B3BB69-23CF-44E3-9099-C40C66FF867C}">
                  <a14:compatExt spid="_x0000_s70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686</xdr:row>
          <xdr:rowOff>48986</xdr:rowOff>
        </xdr:from>
        <xdr:to>
          <xdr:col>10</xdr:col>
          <xdr:colOff>27214</xdr:colOff>
          <xdr:row>687</xdr:row>
          <xdr:rowOff>266700</xdr:rowOff>
        </xdr:to>
        <xdr:sp macro="" textlink="">
          <xdr:nvSpPr>
            <xdr:cNvPr id="7061" name="Option Button 917" hidden="1">
              <a:extLst>
                <a:ext uri="{63B3BB69-23CF-44E3-9099-C40C66FF867C}">
                  <a14:compatExt spid="_x0000_s7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688</xdr:row>
          <xdr:rowOff>48986</xdr:rowOff>
        </xdr:from>
        <xdr:to>
          <xdr:col>10</xdr:col>
          <xdr:colOff>27214</xdr:colOff>
          <xdr:row>689</xdr:row>
          <xdr:rowOff>277586</xdr:rowOff>
        </xdr:to>
        <xdr:sp macro="" textlink="">
          <xdr:nvSpPr>
            <xdr:cNvPr id="7062" name="Option Button 918" hidden="1">
              <a:extLst>
                <a:ext uri="{63B3BB69-23CF-44E3-9099-C40C66FF867C}">
                  <a14:compatExt spid="_x0000_s70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690</xdr:row>
          <xdr:rowOff>48986</xdr:rowOff>
        </xdr:from>
        <xdr:to>
          <xdr:col>10</xdr:col>
          <xdr:colOff>0</xdr:colOff>
          <xdr:row>692</xdr:row>
          <xdr:rowOff>10886</xdr:rowOff>
        </xdr:to>
        <xdr:sp macro="" textlink="">
          <xdr:nvSpPr>
            <xdr:cNvPr id="7063" name="Option Button 919" hidden="1">
              <a:extLst>
                <a:ext uri="{63B3BB69-23CF-44E3-9099-C40C66FF867C}">
                  <a14:compatExt spid="_x0000_s70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664</xdr:row>
          <xdr:rowOff>0</xdr:rowOff>
        </xdr:from>
        <xdr:to>
          <xdr:col>10</xdr:col>
          <xdr:colOff>125186</xdr:colOff>
          <xdr:row>677</xdr:row>
          <xdr:rowOff>0</xdr:rowOff>
        </xdr:to>
        <xdr:sp macro="" textlink="">
          <xdr:nvSpPr>
            <xdr:cNvPr id="7064" name="Group Box 920" hidden="1">
              <a:extLst>
                <a:ext uri="{63B3BB69-23CF-44E3-9099-C40C66FF867C}">
                  <a14:compatExt spid="_x0000_s7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666</xdr:row>
          <xdr:rowOff>65314</xdr:rowOff>
        </xdr:from>
        <xdr:to>
          <xdr:col>10</xdr:col>
          <xdr:colOff>76200</xdr:colOff>
          <xdr:row>668</xdr:row>
          <xdr:rowOff>48986</xdr:rowOff>
        </xdr:to>
        <xdr:sp macro="" textlink="">
          <xdr:nvSpPr>
            <xdr:cNvPr id="7065" name="Option Button 921" hidden="1">
              <a:extLst>
                <a:ext uri="{63B3BB69-23CF-44E3-9099-C40C66FF867C}">
                  <a14:compatExt spid="_x0000_s70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668</xdr:row>
          <xdr:rowOff>65314</xdr:rowOff>
        </xdr:from>
        <xdr:to>
          <xdr:col>10</xdr:col>
          <xdr:colOff>87086</xdr:colOff>
          <xdr:row>669</xdr:row>
          <xdr:rowOff>293914</xdr:rowOff>
        </xdr:to>
        <xdr:sp macro="" textlink="">
          <xdr:nvSpPr>
            <xdr:cNvPr id="7066" name="Option Button 922" hidden="1">
              <a:extLst>
                <a:ext uri="{63B3BB69-23CF-44E3-9099-C40C66FF867C}">
                  <a14:compatExt spid="_x0000_s7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670</xdr:row>
          <xdr:rowOff>48986</xdr:rowOff>
        </xdr:from>
        <xdr:to>
          <xdr:col>10</xdr:col>
          <xdr:colOff>27214</xdr:colOff>
          <xdr:row>671</xdr:row>
          <xdr:rowOff>266700</xdr:rowOff>
        </xdr:to>
        <xdr:sp macro="" textlink="">
          <xdr:nvSpPr>
            <xdr:cNvPr id="7067" name="Option Button 923" hidden="1">
              <a:extLst>
                <a:ext uri="{63B3BB69-23CF-44E3-9099-C40C66FF867C}">
                  <a14:compatExt spid="_x0000_s70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672</xdr:row>
          <xdr:rowOff>48986</xdr:rowOff>
        </xdr:from>
        <xdr:to>
          <xdr:col>10</xdr:col>
          <xdr:colOff>27214</xdr:colOff>
          <xdr:row>674</xdr:row>
          <xdr:rowOff>48986</xdr:rowOff>
        </xdr:to>
        <xdr:sp macro="" textlink="">
          <xdr:nvSpPr>
            <xdr:cNvPr id="7068" name="Option Button 924" hidden="1">
              <a:extLst>
                <a:ext uri="{63B3BB69-23CF-44E3-9099-C40C66FF867C}">
                  <a14:compatExt spid="_x0000_s70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674</xdr:row>
          <xdr:rowOff>48986</xdr:rowOff>
        </xdr:from>
        <xdr:to>
          <xdr:col>10</xdr:col>
          <xdr:colOff>87086</xdr:colOff>
          <xdr:row>675</xdr:row>
          <xdr:rowOff>277586</xdr:rowOff>
        </xdr:to>
        <xdr:sp macro="" textlink="">
          <xdr:nvSpPr>
            <xdr:cNvPr id="7069" name="Option Button 925" hidden="1">
              <a:extLst>
                <a:ext uri="{63B3BB69-23CF-44E3-9099-C40C66FF867C}">
                  <a14:compatExt spid="_x0000_s70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644</xdr:row>
          <xdr:rowOff>10886</xdr:rowOff>
        </xdr:from>
        <xdr:to>
          <xdr:col>10</xdr:col>
          <xdr:colOff>141514</xdr:colOff>
          <xdr:row>659</xdr:row>
          <xdr:rowOff>0</xdr:rowOff>
        </xdr:to>
        <xdr:sp macro="" textlink="">
          <xdr:nvSpPr>
            <xdr:cNvPr id="7070" name="Group Box 926" hidden="1">
              <a:extLst>
                <a:ext uri="{63B3BB69-23CF-44E3-9099-C40C66FF867C}">
                  <a14:compatExt spid="_x0000_s70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646</xdr:row>
          <xdr:rowOff>48986</xdr:rowOff>
        </xdr:from>
        <xdr:to>
          <xdr:col>10</xdr:col>
          <xdr:colOff>65314</xdr:colOff>
          <xdr:row>647</xdr:row>
          <xdr:rowOff>266700</xdr:rowOff>
        </xdr:to>
        <xdr:sp macro="" textlink="">
          <xdr:nvSpPr>
            <xdr:cNvPr id="7071" name="Option Button 927" hidden="1">
              <a:extLst>
                <a:ext uri="{63B3BB69-23CF-44E3-9099-C40C66FF867C}">
                  <a14:compatExt spid="_x0000_s70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650</xdr:row>
          <xdr:rowOff>38100</xdr:rowOff>
        </xdr:from>
        <xdr:to>
          <xdr:col>10</xdr:col>
          <xdr:colOff>65314</xdr:colOff>
          <xdr:row>651</xdr:row>
          <xdr:rowOff>266700</xdr:rowOff>
        </xdr:to>
        <xdr:sp macro="" textlink="">
          <xdr:nvSpPr>
            <xdr:cNvPr id="7072" name="Option Button 928" hidden="1">
              <a:extLst>
                <a:ext uri="{63B3BB69-23CF-44E3-9099-C40C66FF867C}">
                  <a14:compatExt spid="_x0000_s70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652</xdr:row>
          <xdr:rowOff>48986</xdr:rowOff>
        </xdr:from>
        <xdr:to>
          <xdr:col>10</xdr:col>
          <xdr:colOff>27214</xdr:colOff>
          <xdr:row>653</xdr:row>
          <xdr:rowOff>266700</xdr:rowOff>
        </xdr:to>
        <xdr:sp macro="" textlink="">
          <xdr:nvSpPr>
            <xdr:cNvPr id="7073" name="Option Button 929" hidden="1">
              <a:extLst>
                <a:ext uri="{63B3BB69-23CF-44E3-9099-C40C66FF867C}">
                  <a14:compatExt spid="_x0000_s70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654</xdr:row>
          <xdr:rowOff>38100</xdr:rowOff>
        </xdr:from>
        <xdr:to>
          <xdr:col>10</xdr:col>
          <xdr:colOff>38100</xdr:colOff>
          <xdr:row>655</xdr:row>
          <xdr:rowOff>266700</xdr:rowOff>
        </xdr:to>
        <xdr:sp macro="" textlink="">
          <xdr:nvSpPr>
            <xdr:cNvPr id="7074" name="Option Button 930" hidden="1">
              <a:extLst>
                <a:ext uri="{63B3BB69-23CF-44E3-9099-C40C66FF867C}">
                  <a14:compatExt spid="_x0000_s70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656</xdr:row>
          <xdr:rowOff>38100</xdr:rowOff>
        </xdr:from>
        <xdr:to>
          <xdr:col>10</xdr:col>
          <xdr:colOff>27214</xdr:colOff>
          <xdr:row>657</xdr:row>
          <xdr:rowOff>266700</xdr:rowOff>
        </xdr:to>
        <xdr:sp macro="" textlink="">
          <xdr:nvSpPr>
            <xdr:cNvPr id="7075" name="Option Button 931" hidden="1">
              <a:extLst>
                <a:ext uri="{63B3BB69-23CF-44E3-9099-C40C66FF867C}">
                  <a14:compatExt spid="_x0000_s70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621</xdr:row>
          <xdr:rowOff>0</xdr:rowOff>
        </xdr:from>
        <xdr:to>
          <xdr:col>10</xdr:col>
          <xdr:colOff>114300</xdr:colOff>
          <xdr:row>634</xdr:row>
          <xdr:rowOff>48986</xdr:rowOff>
        </xdr:to>
        <xdr:sp macro="" textlink="">
          <xdr:nvSpPr>
            <xdr:cNvPr id="7076" name="Group Box 932" hidden="1">
              <a:extLst>
                <a:ext uri="{63B3BB69-23CF-44E3-9099-C40C66FF867C}">
                  <a14:compatExt spid="_x0000_s7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621</xdr:row>
          <xdr:rowOff>48986</xdr:rowOff>
        </xdr:from>
        <xdr:to>
          <xdr:col>10</xdr:col>
          <xdr:colOff>48986</xdr:colOff>
          <xdr:row>622</xdr:row>
          <xdr:rowOff>266700</xdr:rowOff>
        </xdr:to>
        <xdr:sp macro="" textlink="">
          <xdr:nvSpPr>
            <xdr:cNvPr id="7077" name="Option Button 933" hidden="1">
              <a:extLst>
                <a:ext uri="{63B3BB69-23CF-44E3-9099-C40C66FF867C}">
                  <a14:compatExt spid="_x0000_s70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624</xdr:row>
          <xdr:rowOff>27214</xdr:rowOff>
        </xdr:from>
        <xdr:to>
          <xdr:col>10</xdr:col>
          <xdr:colOff>65314</xdr:colOff>
          <xdr:row>625</xdr:row>
          <xdr:rowOff>255814</xdr:rowOff>
        </xdr:to>
        <xdr:sp macro="" textlink="">
          <xdr:nvSpPr>
            <xdr:cNvPr id="7078" name="Option Button 934" hidden="1">
              <a:extLst>
                <a:ext uri="{63B3BB69-23CF-44E3-9099-C40C66FF867C}">
                  <a14:compatExt spid="_x0000_s70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626</xdr:row>
          <xdr:rowOff>38100</xdr:rowOff>
        </xdr:from>
        <xdr:to>
          <xdr:col>10</xdr:col>
          <xdr:colOff>10886</xdr:colOff>
          <xdr:row>628</xdr:row>
          <xdr:rowOff>27214</xdr:rowOff>
        </xdr:to>
        <xdr:sp macro="" textlink="">
          <xdr:nvSpPr>
            <xdr:cNvPr id="7079" name="Option Button 935" hidden="1">
              <a:extLst>
                <a:ext uri="{63B3BB69-23CF-44E3-9099-C40C66FF867C}">
                  <a14:compatExt spid="_x0000_s70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629</xdr:row>
          <xdr:rowOff>48986</xdr:rowOff>
        </xdr:from>
        <xdr:to>
          <xdr:col>10</xdr:col>
          <xdr:colOff>0</xdr:colOff>
          <xdr:row>631</xdr:row>
          <xdr:rowOff>48986</xdr:rowOff>
        </xdr:to>
        <xdr:sp macro="" textlink="">
          <xdr:nvSpPr>
            <xdr:cNvPr id="7080" name="Option Button 936" hidden="1">
              <a:extLst>
                <a:ext uri="{63B3BB69-23CF-44E3-9099-C40C66FF867C}">
                  <a14:compatExt spid="_x0000_s70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632</xdr:row>
          <xdr:rowOff>27214</xdr:rowOff>
        </xdr:from>
        <xdr:to>
          <xdr:col>9</xdr:col>
          <xdr:colOff>141514</xdr:colOff>
          <xdr:row>634</xdr:row>
          <xdr:rowOff>27214</xdr:rowOff>
        </xdr:to>
        <xdr:sp macro="" textlink="">
          <xdr:nvSpPr>
            <xdr:cNvPr id="7081" name="Option Button 937" hidden="1">
              <a:extLst>
                <a:ext uri="{63B3BB69-23CF-44E3-9099-C40C66FF867C}">
                  <a14:compatExt spid="_x0000_s70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591</xdr:row>
          <xdr:rowOff>0</xdr:rowOff>
        </xdr:from>
        <xdr:to>
          <xdr:col>10</xdr:col>
          <xdr:colOff>103414</xdr:colOff>
          <xdr:row>610</xdr:row>
          <xdr:rowOff>0</xdr:rowOff>
        </xdr:to>
        <xdr:sp macro="" textlink="">
          <xdr:nvSpPr>
            <xdr:cNvPr id="7082" name="Group Box 938" hidden="1">
              <a:extLst>
                <a:ext uri="{63B3BB69-23CF-44E3-9099-C40C66FF867C}">
                  <a14:compatExt spid="_x0000_s7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591</xdr:row>
          <xdr:rowOff>65314</xdr:rowOff>
        </xdr:from>
        <xdr:to>
          <xdr:col>10</xdr:col>
          <xdr:colOff>65314</xdr:colOff>
          <xdr:row>592</xdr:row>
          <xdr:rowOff>277586</xdr:rowOff>
        </xdr:to>
        <xdr:sp macro="" textlink="">
          <xdr:nvSpPr>
            <xdr:cNvPr id="7083" name="Option Button 939" hidden="1">
              <a:extLst>
                <a:ext uri="{63B3BB69-23CF-44E3-9099-C40C66FF867C}">
                  <a14:compatExt spid="_x0000_s70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594</xdr:row>
          <xdr:rowOff>38100</xdr:rowOff>
        </xdr:from>
        <xdr:to>
          <xdr:col>10</xdr:col>
          <xdr:colOff>103414</xdr:colOff>
          <xdr:row>595</xdr:row>
          <xdr:rowOff>266700</xdr:rowOff>
        </xdr:to>
        <xdr:sp macro="" textlink="">
          <xdr:nvSpPr>
            <xdr:cNvPr id="7084" name="Option Button 940" hidden="1">
              <a:extLst>
                <a:ext uri="{63B3BB69-23CF-44E3-9099-C40C66FF867C}">
                  <a14:compatExt spid="_x0000_s70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600</xdr:row>
          <xdr:rowOff>48986</xdr:rowOff>
        </xdr:from>
        <xdr:to>
          <xdr:col>10</xdr:col>
          <xdr:colOff>38100</xdr:colOff>
          <xdr:row>601</xdr:row>
          <xdr:rowOff>266700</xdr:rowOff>
        </xdr:to>
        <xdr:sp macro="" textlink="">
          <xdr:nvSpPr>
            <xdr:cNvPr id="7085" name="Option Button 941" hidden="1">
              <a:extLst>
                <a:ext uri="{63B3BB69-23CF-44E3-9099-C40C66FF867C}">
                  <a14:compatExt spid="_x0000_s70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606</xdr:row>
          <xdr:rowOff>38100</xdr:rowOff>
        </xdr:from>
        <xdr:to>
          <xdr:col>9</xdr:col>
          <xdr:colOff>179614</xdr:colOff>
          <xdr:row>607</xdr:row>
          <xdr:rowOff>266700</xdr:rowOff>
        </xdr:to>
        <xdr:sp macro="" textlink="">
          <xdr:nvSpPr>
            <xdr:cNvPr id="7086" name="Option Button 942" hidden="1">
              <a:extLst>
                <a:ext uri="{63B3BB69-23CF-44E3-9099-C40C66FF867C}">
                  <a14:compatExt spid="_x0000_s70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608</xdr:row>
          <xdr:rowOff>48986</xdr:rowOff>
        </xdr:from>
        <xdr:to>
          <xdr:col>10</xdr:col>
          <xdr:colOff>38100</xdr:colOff>
          <xdr:row>609</xdr:row>
          <xdr:rowOff>277586</xdr:rowOff>
        </xdr:to>
        <xdr:sp macro="" textlink="">
          <xdr:nvSpPr>
            <xdr:cNvPr id="7087" name="Option Button 943" hidden="1">
              <a:extLst>
                <a:ext uri="{63B3BB69-23CF-44E3-9099-C40C66FF867C}">
                  <a14:compatExt spid="_x0000_s70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614</xdr:row>
          <xdr:rowOff>0</xdr:rowOff>
        </xdr:from>
        <xdr:to>
          <xdr:col>10</xdr:col>
          <xdr:colOff>103414</xdr:colOff>
          <xdr:row>616</xdr:row>
          <xdr:rowOff>0</xdr:rowOff>
        </xdr:to>
        <xdr:sp macro="" textlink="">
          <xdr:nvSpPr>
            <xdr:cNvPr id="7090" name="Group Box 946" hidden="1">
              <a:extLst>
                <a:ext uri="{63B3BB69-23CF-44E3-9099-C40C66FF867C}">
                  <a14:compatExt spid="_x0000_s70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475</xdr:row>
          <xdr:rowOff>38100</xdr:rowOff>
        </xdr:from>
        <xdr:to>
          <xdr:col>13</xdr:col>
          <xdr:colOff>10886</xdr:colOff>
          <xdr:row>476</xdr:row>
          <xdr:rowOff>255814</xdr:rowOff>
        </xdr:to>
        <xdr:sp macro="" textlink="">
          <xdr:nvSpPr>
            <xdr:cNvPr id="7091" name="Check Box 947" hidden="1">
              <a:extLst>
                <a:ext uri="{63B3BB69-23CF-44E3-9099-C40C66FF867C}">
                  <a14:compatExt spid="_x0000_s70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POOL U.V. SYSTEM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477</xdr:row>
          <xdr:rowOff>27214</xdr:rowOff>
        </xdr:from>
        <xdr:to>
          <xdr:col>12</xdr:col>
          <xdr:colOff>114300</xdr:colOff>
          <xdr:row>478</xdr:row>
          <xdr:rowOff>239486</xdr:rowOff>
        </xdr:to>
        <xdr:sp macro="" textlink="">
          <xdr:nvSpPr>
            <xdr:cNvPr id="7092" name="Check Box 948" hidden="1">
              <a:extLst>
                <a:ext uri="{63B3BB69-23CF-44E3-9099-C40C66FF867C}">
                  <a14:compatExt spid="_x0000_s70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GUARD CERTIFICATION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483</xdr:row>
          <xdr:rowOff>38100</xdr:rowOff>
        </xdr:from>
        <xdr:to>
          <xdr:col>11</xdr:col>
          <xdr:colOff>38100</xdr:colOff>
          <xdr:row>484</xdr:row>
          <xdr:rowOff>255814</xdr:rowOff>
        </xdr:to>
        <xdr:sp macro="" textlink="">
          <xdr:nvSpPr>
            <xdr:cNvPr id="7093" name="Check Box 949" hidden="1">
              <a:extLst>
                <a:ext uri="{63B3BB69-23CF-44E3-9099-C40C66FF867C}">
                  <a14:compatExt spid="_x0000_s70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AQUATIC TRAINING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479</xdr:row>
          <xdr:rowOff>38100</xdr:rowOff>
        </xdr:from>
        <xdr:to>
          <xdr:col>13</xdr:col>
          <xdr:colOff>76200</xdr:colOff>
          <xdr:row>480</xdr:row>
          <xdr:rowOff>255814</xdr:rowOff>
        </xdr:to>
        <xdr:sp macro="" textlink="">
          <xdr:nvSpPr>
            <xdr:cNvPr id="7095" name="Check Box 951" hidden="1">
              <a:extLst>
                <a:ext uri="{63B3BB69-23CF-44E3-9099-C40C66FF867C}">
                  <a14:compatExt spid="_x0000_s70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GUARD PROFESSIONALISM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481</xdr:row>
          <xdr:rowOff>76200</xdr:rowOff>
        </xdr:from>
        <xdr:to>
          <xdr:col>11</xdr:col>
          <xdr:colOff>114300</xdr:colOff>
          <xdr:row>483</xdr:row>
          <xdr:rowOff>0</xdr:rowOff>
        </xdr:to>
        <xdr:sp macro="" textlink="">
          <xdr:nvSpPr>
            <xdr:cNvPr id="7096" name="Check Box 952" hidden="1">
              <a:extLst>
                <a:ext uri="{63B3BB69-23CF-44E3-9099-C40C66FF867C}">
                  <a14:compatExt spid="_x0000_s70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LIFESAVING SYSTEMS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485</xdr:row>
          <xdr:rowOff>27214</xdr:rowOff>
        </xdr:from>
        <xdr:to>
          <xdr:col>12</xdr:col>
          <xdr:colOff>163286</xdr:colOff>
          <xdr:row>486</xdr:row>
          <xdr:rowOff>239486</xdr:rowOff>
        </xdr:to>
        <xdr:sp macro="" textlink="">
          <xdr:nvSpPr>
            <xdr:cNvPr id="7097" name="Check Box 953" hidden="1">
              <a:extLst>
                <a:ext uri="{63B3BB69-23CF-44E3-9099-C40C66FF867C}">
                  <a14:compatExt spid="_x0000_s70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DRILLS /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27214</xdr:colOff>
          <xdr:row>234</xdr:row>
          <xdr:rowOff>582386</xdr:rowOff>
        </xdr:from>
        <xdr:to>
          <xdr:col>10</xdr:col>
          <xdr:colOff>10886</xdr:colOff>
          <xdr:row>234</xdr:row>
          <xdr:rowOff>876300</xdr:rowOff>
        </xdr:to>
        <xdr:sp macro="" textlink="">
          <xdr:nvSpPr>
            <xdr:cNvPr id="7099" name="Option Button 955" hidden="1">
              <a:extLst>
                <a:ext uri="{63B3BB69-23CF-44E3-9099-C40C66FF867C}">
                  <a14:compatExt spid="_x0000_s70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146</xdr:row>
          <xdr:rowOff>38100</xdr:rowOff>
        </xdr:from>
        <xdr:to>
          <xdr:col>10</xdr:col>
          <xdr:colOff>27214</xdr:colOff>
          <xdr:row>146</xdr:row>
          <xdr:rowOff>332014</xdr:rowOff>
        </xdr:to>
        <xdr:sp macro="" textlink="">
          <xdr:nvSpPr>
            <xdr:cNvPr id="7108" name="Option Button 964" hidden="1">
              <a:extLst>
                <a:ext uri="{63B3BB69-23CF-44E3-9099-C40C66FF867C}">
                  <a14:compatExt spid="_x0000_s7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147</xdr:row>
          <xdr:rowOff>48986</xdr:rowOff>
        </xdr:from>
        <xdr:to>
          <xdr:col>10</xdr:col>
          <xdr:colOff>27214</xdr:colOff>
          <xdr:row>149</xdr:row>
          <xdr:rowOff>27214</xdr:rowOff>
        </xdr:to>
        <xdr:sp macro="" textlink="">
          <xdr:nvSpPr>
            <xdr:cNvPr id="7110" name="Option Button 966" hidden="1">
              <a:extLst>
                <a:ext uri="{63B3BB69-23CF-44E3-9099-C40C66FF867C}">
                  <a14:compatExt spid="_x0000_s7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91</xdr:row>
          <xdr:rowOff>38100</xdr:rowOff>
        </xdr:from>
        <xdr:to>
          <xdr:col>10</xdr:col>
          <xdr:colOff>27214</xdr:colOff>
          <xdr:row>93</xdr:row>
          <xdr:rowOff>27214</xdr:rowOff>
        </xdr:to>
        <xdr:sp macro="" textlink="">
          <xdr:nvSpPr>
            <xdr:cNvPr id="7111" name="Option Button 967" hidden="1">
              <a:extLst>
                <a:ext uri="{63B3BB69-23CF-44E3-9099-C40C66FF867C}">
                  <a14:compatExt spid="_x0000_s7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93</xdr:row>
          <xdr:rowOff>48986</xdr:rowOff>
        </xdr:from>
        <xdr:to>
          <xdr:col>10</xdr:col>
          <xdr:colOff>27214</xdr:colOff>
          <xdr:row>95</xdr:row>
          <xdr:rowOff>27214</xdr:rowOff>
        </xdr:to>
        <xdr:sp macro="" textlink="">
          <xdr:nvSpPr>
            <xdr:cNvPr id="7112" name="Option Button 968" hidden="1">
              <a:extLst>
                <a:ext uri="{63B3BB69-23CF-44E3-9099-C40C66FF867C}">
                  <a14:compatExt spid="_x0000_s7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95</xdr:row>
          <xdr:rowOff>38100</xdr:rowOff>
        </xdr:from>
        <xdr:to>
          <xdr:col>10</xdr:col>
          <xdr:colOff>27214</xdr:colOff>
          <xdr:row>97</xdr:row>
          <xdr:rowOff>27214</xdr:rowOff>
        </xdr:to>
        <xdr:sp macro="" textlink="">
          <xdr:nvSpPr>
            <xdr:cNvPr id="7113" name="Option Button 969" hidden="1">
              <a:extLst>
                <a:ext uri="{63B3BB69-23CF-44E3-9099-C40C66FF867C}">
                  <a14:compatExt spid="_x0000_s71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579</xdr:row>
          <xdr:rowOff>65314</xdr:rowOff>
        </xdr:from>
        <xdr:to>
          <xdr:col>10</xdr:col>
          <xdr:colOff>27214</xdr:colOff>
          <xdr:row>580</xdr:row>
          <xdr:rowOff>266700</xdr:rowOff>
        </xdr:to>
        <xdr:sp macro="" textlink="">
          <xdr:nvSpPr>
            <xdr:cNvPr id="7114" name="Option Button 970" hidden="1">
              <a:extLst>
                <a:ext uri="{63B3BB69-23CF-44E3-9099-C40C66FF867C}">
                  <a14:compatExt spid="_x0000_s7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569</xdr:row>
          <xdr:rowOff>48986</xdr:rowOff>
        </xdr:from>
        <xdr:to>
          <xdr:col>10</xdr:col>
          <xdr:colOff>27214</xdr:colOff>
          <xdr:row>571</xdr:row>
          <xdr:rowOff>27214</xdr:rowOff>
        </xdr:to>
        <xdr:sp macro="" textlink="">
          <xdr:nvSpPr>
            <xdr:cNvPr id="7115" name="Option Button 971" hidden="1">
              <a:extLst>
                <a:ext uri="{63B3BB69-23CF-44E3-9099-C40C66FF867C}">
                  <a14:compatExt spid="_x0000_s7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595</xdr:row>
          <xdr:rowOff>1191986</xdr:rowOff>
        </xdr:from>
        <xdr:to>
          <xdr:col>10</xdr:col>
          <xdr:colOff>27214</xdr:colOff>
          <xdr:row>595</xdr:row>
          <xdr:rowOff>1475014</xdr:rowOff>
        </xdr:to>
        <xdr:sp macro="" textlink="">
          <xdr:nvSpPr>
            <xdr:cNvPr id="7116" name="Option Button 972" hidden="1">
              <a:extLst>
                <a:ext uri="{63B3BB69-23CF-44E3-9099-C40C66FF867C}">
                  <a14:compatExt spid="_x0000_s7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601</xdr:row>
          <xdr:rowOff>598714</xdr:rowOff>
        </xdr:from>
        <xdr:to>
          <xdr:col>9</xdr:col>
          <xdr:colOff>103414</xdr:colOff>
          <xdr:row>601</xdr:row>
          <xdr:rowOff>887186</xdr:rowOff>
        </xdr:to>
        <xdr:sp macro="" textlink="">
          <xdr:nvSpPr>
            <xdr:cNvPr id="7117" name="Option Button 973" hidden="1">
              <a:extLst>
                <a:ext uri="{63B3BB69-23CF-44E3-9099-C40C66FF867C}">
                  <a14:compatExt spid="_x0000_s7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613</xdr:row>
          <xdr:rowOff>65314</xdr:rowOff>
        </xdr:from>
        <xdr:to>
          <xdr:col>9</xdr:col>
          <xdr:colOff>27214</xdr:colOff>
          <xdr:row>615</xdr:row>
          <xdr:rowOff>10886</xdr:rowOff>
        </xdr:to>
        <xdr:sp macro="" textlink="">
          <xdr:nvSpPr>
            <xdr:cNvPr id="7118" name="Check Box 974" hidden="1">
              <a:extLst>
                <a:ext uri="{63B3BB69-23CF-44E3-9099-C40C66FF867C}">
                  <a14:compatExt spid="_x0000_s7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EXPLANATORY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487</xdr:row>
          <xdr:rowOff>48986</xdr:rowOff>
        </xdr:from>
        <xdr:to>
          <xdr:col>11</xdr:col>
          <xdr:colOff>76200</xdr:colOff>
          <xdr:row>489</xdr:row>
          <xdr:rowOff>10886</xdr:rowOff>
        </xdr:to>
        <xdr:sp macro="" textlink="">
          <xdr:nvSpPr>
            <xdr:cNvPr id="7119" name="Check Box 975" hidden="1">
              <a:extLst>
                <a:ext uri="{63B3BB69-23CF-44E3-9099-C40C66FF867C}">
                  <a14:compatExt spid="_x0000_s7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VGB ACT COMPLIANCE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664</xdr:row>
          <xdr:rowOff>38100</xdr:rowOff>
        </xdr:from>
        <xdr:to>
          <xdr:col>10</xdr:col>
          <xdr:colOff>27214</xdr:colOff>
          <xdr:row>666</xdr:row>
          <xdr:rowOff>27214</xdr:rowOff>
        </xdr:to>
        <xdr:sp macro="" textlink="">
          <xdr:nvSpPr>
            <xdr:cNvPr id="7120" name="Option Button 976" hidden="1">
              <a:extLst>
                <a:ext uri="{63B3BB69-23CF-44E3-9099-C40C66FF867C}">
                  <a14:compatExt spid="_x0000_s7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48986</xdr:colOff>
          <xdr:row>644</xdr:row>
          <xdr:rowOff>65314</xdr:rowOff>
        </xdr:from>
        <xdr:to>
          <xdr:col>10</xdr:col>
          <xdr:colOff>38100</xdr:colOff>
          <xdr:row>646</xdr:row>
          <xdr:rowOff>10886</xdr:rowOff>
        </xdr:to>
        <xdr:sp macro="" textlink="">
          <xdr:nvSpPr>
            <xdr:cNvPr id="7122" name="Option Button 978" hidden="1">
              <a:extLst>
                <a:ext uri="{63B3BB69-23CF-44E3-9099-C40C66FF867C}">
                  <a14:compatExt spid="_x0000_s7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714</xdr:row>
          <xdr:rowOff>65314</xdr:rowOff>
        </xdr:from>
        <xdr:to>
          <xdr:col>9</xdr:col>
          <xdr:colOff>152400</xdr:colOff>
          <xdr:row>715</xdr:row>
          <xdr:rowOff>277586</xdr:rowOff>
        </xdr:to>
        <xdr:sp macro="" textlink="">
          <xdr:nvSpPr>
            <xdr:cNvPr id="7124" name="Option Button 980" hidden="1">
              <a:extLst>
                <a:ext uri="{63B3BB69-23CF-44E3-9099-C40C66FF867C}">
                  <a14:compatExt spid="_x0000_s7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716</xdr:row>
          <xdr:rowOff>65314</xdr:rowOff>
        </xdr:from>
        <xdr:to>
          <xdr:col>10</xdr:col>
          <xdr:colOff>48986</xdr:colOff>
          <xdr:row>717</xdr:row>
          <xdr:rowOff>293914</xdr:rowOff>
        </xdr:to>
        <xdr:sp macro="" textlink="">
          <xdr:nvSpPr>
            <xdr:cNvPr id="7125" name="Option Button 981" hidden="1">
              <a:extLst>
                <a:ext uri="{63B3BB69-23CF-44E3-9099-C40C66FF867C}">
                  <a14:compatExt spid="_x0000_s7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718</xdr:row>
          <xdr:rowOff>48986</xdr:rowOff>
        </xdr:from>
        <xdr:to>
          <xdr:col>10</xdr:col>
          <xdr:colOff>27214</xdr:colOff>
          <xdr:row>719</xdr:row>
          <xdr:rowOff>266700</xdr:rowOff>
        </xdr:to>
        <xdr:sp macro="" textlink="">
          <xdr:nvSpPr>
            <xdr:cNvPr id="7126" name="Option Button 982" hidden="1">
              <a:extLst>
                <a:ext uri="{63B3BB69-23CF-44E3-9099-C40C66FF867C}">
                  <a14:compatExt spid="_x0000_s71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720</xdr:row>
          <xdr:rowOff>48986</xdr:rowOff>
        </xdr:from>
        <xdr:to>
          <xdr:col>10</xdr:col>
          <xdr:colOff>27214</xdr:colOff>
          <xdr:row>722</xdr:row>
          <xdr:rowOff>0</xdr:rowOff>
        </xdr:to>
        <xdr:sp macro="" textlink="">
          <xdr:nvSpPr>
            <xdr:cNvPr id="7127" name="Option Button 983" hidden="1">
              <a:extLst>
                <a:ext uri="{63B3BB69-23CF-44E3-9099-C40C66FF867C}">
                  <a14:compatExt spid="_x0000_s71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722</xdr:row>
          <xdr:rowOff>48986</xdr:rowOff>
        </xdr:from>
        <xdr:to>
          <xdr:col>10</xdr:col>
          <xdr:colOff>38100</xdr:colOff>
          <xdr:row>724</xdr:row>
          <xdr:rowOff>0</xdr:rowOff>
        </xdr:to>
        <xdr:sp macro="" textlink="">
          <xdr:nvSpPr>
            <xdr:cNvPr id="7128" name="Option Button 984" hidden="1">
              <a:extLst>
                <a:ext uri="{63B3BB69-23CF-44E3-9099-C40C66FF867C}">
                  <a14:compatExt spid="_x0000_s71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715</xdr:row>
          <xdr:rowOff>381000</xdr:rowOff>
        </xdr:from>
        <xdr:to>
          <xdr:col>10</xdr:col>
          <xdr:colOff>27214</xdr:colOff>
          <xdr:row>715</xdr:row>
          <xdr:rowOff>658586</xdr:rowOff>
        </xdr:to>
        <xdr:sp macro="" textlink="">
          <xdr:nvSpPr>
            <xdr:cNvPr id="7129" name="Option Button 985" hidden="1">
              <a:extLst>
                <a:ext uri="{63B3BB69-23CF-44E3-9099-C40C66FF867C}">
                  <a14:compatExt spid="_x0000_s71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717</xdr:row>
          <xdr:rowOff>370114</xdr:rowOff>
        </xdr:from>
        <xdr:to>
          <xdr:col>10</xdr:col>
          <xdr:colOff>27214</xdr:colOff>
          <xdr:row>717</xdr:row>
          <xdr:rowOff>647700</xdr:rowOff>
        </xdr:to>
        <xdr:sp macro="" textlink="">
          <xdr:nvSpPr>
            <xdr:cNvPr id="7130" name="Option Button 986" hidden="1">
              <a:extLst>
                <a:ext uri="{63B3BB69-23CF-44E3-9099-C40C66FF867C}">
                  <a14:compatExt spid="_x0000_s7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719</xdr:row>
          <xdr:rowOff>979714</xdr:rowOff>
        </xdr:from>
        <xdr:to>
          <xdr:col>10</xdr:col>
          <xdr:colOff>27214</xdr:colOff>
          <xdr:row>719</xdr:row>
          <xdr:rowOff>1257300</xdr:rowOff>
        </xdr:to>
        <xdr:sp macro="" textlink="">
          <xdr:nvSpPr>
            <xdr:cNvPr id="7131" name="Option Button 987" hidden="1">
              <a:extLst>
                <a:ext uri="{63B3BB69-23CF-44E3-9099-C40C66FF867C}">
                  <a14:compatExt spid="_x0000_s7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714</xdr:row>
          <xdr:rowOff>10886</xdr:rowOff>
        </xdr:from>
        <xdr:to>
          <xdr:col>10</xdr:col>
          <xdr:colOff>114300</xdr:colOff>
          <xdr:row>724</xdr:row>
          <xdr:rowOff>65314</xdr:rowOff>
        </xdr:to>
        <xdr:sp macro="" textlink="">
          <xdr:nvSpPr>
            <xdr:cNvPr id="7132" name="Group Box 988" hidden="1">
              <a:extLst>
                <a:ext uri="{63B3BB69-23CF-44E3-9099-C40C66FF867C}">
                  <a14:compatExt spid="_x0000_s7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en-US" sz="800" b="0" i="0" u="none" strike="noStrike" baseline="0">
                  <a:solidFill>
                    <a:srgbClr val="000000"/>
                  </a:solidFill>
                  <a:latin typeface="Tahoma"/>
                  <a:ea typeface="Tahoma"/>
                  <a:cs typeface="Tahoma"/>
                </a:rPr>
                <a:t>Group Box 988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50</xdr:row>
          <xdr:rowOff>38100</xdr:rowOff>
        </xdr:from>
        <xdr:to>
          <xdr:col>22</xdr:col>
          <xdr:colOff>114300</xdr:colOff>
          <xdr:row>52</xdr:row>
          <xdr:rowOff>0</xdr:rowOff>
        </xdr:to>
        <xdr:sp macro="" textlink="">
          <xdr:nvSpPr>
            <xdr:cNvPr id="7135" name="Check Box 991" hidden="1">
              <a:extLst>
                <a:ext uri="{63B3BB69-23CF-44E3-9099-C40C66FF867C}">
                  <a14:compatExt spid="_x0000_s7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REFERENCES CHECKED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163286</xdr:colOff>
          <xdr:row>50</xdr:row>
          <xdr:rowOff>48986</xdr:rowOff>
        </xdr:from>
        <xdr:to>
          <xdr:col>28</xdr:col>
          <xdr:colOff>152400</xdr:colOff>
          <xdr:row>52</xdr:row>
          <xdr:rowOff>10886</xdr:rowOff>
        </xdr:to>
        <xdr:sp macro="" textlink="">
          <xdr:nvSpPr>
            <xdr:cNvPr id="7136" name="Check Box 992" hidden="1">
              <a:extLst>
                <a:ext uri="{63B3BB69-23CF-44E3-9099-C40C66FF867C}">
                  <a14:compatExt spid="_x0000_s71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CBCs CHECKED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10886</xdr:colOff>
          <xdr:row>50</xdr:row>
          <xdr:rowOff>48986</xdr:rowOff>
        </xdr:from>
        <xdr:to>
          <xdr:col>36</xdr:col>
          <xdr:colOff>48986</xdr:colOff>
          <xdr:row>52</xdr:row>
          <xdr:rowOff>10886</xdr:rowOff>
        </xdr:to>
        <xdr:sp macro="" textlink="">
          <xdr:nvSpPr>
            <xdr:cNvPr id="7137" name="Check Box 993" hidden="1">
              <a:extLst>
                <a:ext uri="{63B3BB69-23CF-44E3-9099-C40C66FF867C}">
                  <a14:compatExt spid="_x0000_s7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RIGHT OF REFUSAL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125186</xdr:colOff>
          <xdr:row>50</xdr:row>
          <xdr:rowOff>48986</xdr:rowOff>
        </xdr:from>
        <xdr:to>
          <xdr:col>44</xdr:col>
          <xdr:colOff>125186</xdr:colOff>
          <xdr:row>52</xdr:row>
          <xdr:rowOff>10886</xdr:rowOff>
        </xdr:to>
        <xdr:sp macro="" textlink="">
          <xdr:nvSpPr>
            <xdr:cNvPr id="7138" name="Check Box 994" hidden="1">
              <a:extLst>
                <a:ext uri="{63B3BB69-23CF-44E3-9099-C40C66FF867C}">
                  <a14:compatExt spid="_x0000_s7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SEPARATE ENTRANCE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52</xdr:row>
          <xdr:rowOff>48986</xdr:rowOff>
        </xdr:from>
        <xdr:to>
          <xdr:col>19</xdr:col>
          <xdr:colOff>103414</xdr:colOff>
          <xdr:row>54</xdr:row>
          <xdr:rowOff>10886</xdr:rowOff>
        </xdr:to>
        <xdr:sp macro="" textlink="">
          <xdr:nvSpPr>
            <xdr:cNvPr id="7140" name="Check Box 996" hidden="1">
              <a:extLst>
                <a:ext uri="{63B3BB69-23CF-44E3-9099-C40C66FF867C}">
                  <a14:compatExt spid="_x0000_s71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DINING HALL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27214</xdr:colOff>
          <xdr:row>52</xdr:row>
          <xdr:rowOff>65314</xdr:rowOff>
        </xdr:from>
        <xdr:to>
          <xdr:col>25</xdr:col>
          <xdr:colOff>190500</xdr:colOff>
          <xdr:row>54</xdr:row>
          <xdr:rowOff>10886</xdr:rowOff>
        </xdr:to>
        <xdr:sp macro="" textlink="">
          <xdr:nvSpPr>
            <xdr:cNvPr id="7141" name="Check Box 997" hidden="1">
              <a:extLst>
                <a:ext uri="{63B3BB69-23CF-44E3-9099-C40C66FF867C}">
                  <a14:compatExt spid="_x0000_s71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MAID SERVICE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87086</xdr:colOff>
          <xdr:row>52</xdr:row>
          <xdr:rowOff>48986</xdr:rowOff>
        </xdr:from>
        <xdr:to>
          <xdr:col>44</xdr:col>
          <xdr:colOff>0</xdr:colOff>
          <xdr:row>54</xdr:row>
          <xdr:rowOff>10886</xdr:rowOff>
        </xdr:to>
        <xdr:sp macro="" textlink="">
          <xdr:nvSpPr>
            <xdr:cNvPr id="7143" name="Check Box 999" hidden="1">
              <a:extLst>
                <a:ext uri="{63B3BB69-23CF-44E3-9099-C40C66FF867C}">
                  <a14:compatExt spid="_x0000_s71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COI from MGMT ENTITY</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29</xdr:row>
          <xdr:rowOff>419100</xdr:rowOff>
        </xdr:from>
        <xdr:to>
          <xdr:col>26</xdr:col>
          <xdr:colOff>48986</xdr:colOff>
          <xdr:row>31</xdr:row>
          <xdr:rowOff>48986</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SUMMER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125186</xdr:colOff>
          <xdr:row>29</xdr:row>
          <xdr:rowOff>419100</xdr:rowOff>
        </xdr:from>
        <xdr:to>
          <xdr:col>32</xdr:col>
          <xdr:colOff>48986</xdr:colOff>
          <xdr:row>31</xdr:row>
          <xdr:rowOff>48986</xdr:rowOff>
        </xdr:to>
        <xdr:sp macro=""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SPRING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103414</xdr:colOff>
          <xdr:row>29</xdr:row>
          <xdr:rowOff>419100</xdr:rowOff>
        </xdr:from>
        <xdr:to>
          <xdr:col>38</xdr:col>
          <xdr:colOff>0</xdr:colOff>
          <xdr:row>31</xdr:row>
          <xdr:rowOff>48986</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FALL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103414</xdr:colOff>
          <xdr:row>29</xdr:row>
          <xdr:rowOff>419100</xdr:rowOff>
        </xdr:from>
        <xdr:to>
          <xdr:col>43</xdr:col>
          <xdr:colOff>48986</xdr:colOff>
          <xdr:row>31</xdr:row>
          <xdr:rowOff>48986</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WINTER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48986</xdr:colOff>
          <xdr:row>80</xdr:row>
          <xdr:rowOff>76200</xdr:rowOff>
        </xdr:from>
        <xdr:to>
          <xdr:col>42</xdr:col>
          <xdr:colOff>87086</xdr:colOff>
          <xdr:row>80</xdr:row>
          <xdr:rowOff>370114</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solidFill>
              <a:srgbClr val="99CCFF" mc:Ignorable="a14" a14:legacySpreadsheetColorIndex="44">
                <a:alpha val="32001"/>
              </a:srgbClr>
            </a:solidFill>
            <a:ln w="9525">
              <a:solidFill>
                <a:srgbClr val="000000"/>
              </a:solidFill>
              <a:miter lim="800000"/>
              <a:headEnd/>
              <a:tailEnd/>
            </a:ln>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 ON- OR OFF-SITE SWIMMING, BOATING, OR AQUATIC ACTIVITIES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87</xdr:row>
          <xdr:rowOff>27214</xdr:rowOff>
        </xdr:from>
        <xdr:to>
          <xdr:col>11</xdr:col>
          <xdr:colOff>10886</xdr:colOff>
          <xdr:row>88</xdr:row>
          <xdr:rowOff>255814</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SWIMMING POOL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141514</xdr:colOff>
          <xdr:row>89</xdr:row>
          <xdr:rowOff>38100</xdr:rowOff>
        </xdr:from>
        <xdr:to>
          <xdr:col>11</xdr:col>
          <xdr:colOff>38100</xdr:colOff>
          <xdr:row>90</xdr:row>
          <xdr:rowOff>255814</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WATER FRONT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85</xdr:row>
          <xdr:rowOff>179614</xdr:rowOff>
        </xdr:from>
        <xdr:to>
          <xdr:col>8</xdr:col>
          <xdr:colOff>10886</xdr:colOff>
          <xdr:row>87</xdr:row>
          <xdr:rowOff>48986</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93</xdr:row>
          <xdr:rowOff>27214</xdr:rowOff>
        </xdr:from>
        <xdr:to>
          <xdr:col>10</xdr:col>
          <xdr:colOff>163286</xdr:colOff>
          <xdr:row>95</xdr:row>
          <xdr:rowOff>10886</xdr:rowOff>
        </xdr:to>
        <xdr:sp macro=""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OFF-SITE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125186</xdr:colOff>
          <xdr:row>99</xdr:row>
          <xdr:rowOff>179614</xdr:rowOff>
        </xdr:from>
        <xdr:to>
          <xdr:col>43</xdr:col>
          <xdr:colOff>141514</xdr:colOff>
          <xdr:row>101</xdr:row>
          <xdr:rowOff>48986</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OFF-SITE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98</xdr:row>
          <xdr:rowOff>179614</xdr:rowOff>
        </xdr:from>
        <xdr:to>
          <xdr:col>7</xdr:col>
          <xdr:colOff>163286</xdr:colOff>
          <xdr:row>100</xdr:row>
          <xdr:rowOff>48986</xdr:rowOff>
        </xdr:to>
        <xdr:sp macro=""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179614</xdr:colOff>
          <xdr:row>99</xdr:row>
          <xdr:rowOff>179614</xdr:rowOff>
        </xdr:from>
        <xdr:to>
          <xdr:col>28</xdr:col>
          <xdr:colOff>190500</xdr:colOff>
          <xdr:row>101</xdr:row>
          <xdr:rowOff>48986</xdr:rowOff>
        </xdr:to>
        <xdr:sp macro=""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VESSELS &lt;26'</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29</xdr:col>
          <xdr:colOff>125186</xdr:colOff>
          <xdr:row>99</xdr:row>
          <xdr:rowOff>163286</xdr:rowOff>
        </xdr:from>
        <xdr:to>
          <xdr:col>35</xdr:col>
          <xdr:colOff>0</xdr:colOff>
          <xdr:row>101</xdr:row>
          <xdr:rowOff>27214</xdr:rowOff>
        </xdr:to>
        <xdr:sp macro=""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VESSELS 26'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65314</xdr:colOff>
          <xdr:row>99</xdr:row>
          <xdr:rowOff>163286</xdr:rowOff>
        </xdr:from>
        <xdr:to>
          <xdr:col>23</xdr:col>
          <xdr:colOff>141514</xdr:colOff>
          <xdr:row>101</xdr:row>
          <xdr:rowOff>27214</xdr:rowOff>
        </xdr:to>
        <xdr:sp macro=""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PERSONAL WATERCRAFT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163286</xdr:colOff>
          <xdr:row>218</xdr:row>
          <xdr:rowOff>239486</xdr:rowOff>
        </xdr:from>
        <xdr:to>
          <xdr:col>16</xdr:col>
          <xdr:colOff>48986</xdr:colOff>
          <xdr:row>220</xdr:row>
          <xdr:rowOff>76200</xdr:rowOff>
        </xdr:to>
        <xdr:sp macro=""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BIKING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218</xdr:row>
          <xdr:rowOff>239486</xdr:rowOff>
        </xdr:from>
        <xdr:to>
          <xdr:col>19</xdr:col>
          <xdr:colOff>228600</xdr:colOff>
          <xdr:row>220</xdr:row>
          <xdr:rowOff>76200</xdr:rowOff>
        </xdr:to>
        <xdr:sp macro=""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HIKING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218</xdr:row>
          <xdr:rowOff>239486</xdr:rowOff>
        </xdr:from>
        <xdr:to>
          <xdr:col>25</xdr:col>
          <xdr:colOff>190500</xdr:colOff>
          <xdr:row>220</xdr:row>
          <xdr:rowOff>76200</xdr:rowOff>
        </xdr:to>
        <xdr:sp macro=""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WILDERNESS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87086</xdr:colOff>
          <xdr:row>218</xdr:row>
          <xdr:rowOff>239486</xdr:rowOff>
        </xdr:from>
        <xdr:to>
          <xdr:col>32</xdr:col>
          <xdr:colOff>65314</xdr:colOff>
          <xdr:row>220</xdr:row>
          <xdr:rowOff>76200</xdr:rowOff>
        </xdr:to>
        <xdr:sp macro=""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CANOE / KAYAK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27214</xdr:colOff>
          <xdr:row>218</xdr:row>
          <xdr:rowOff>239486</xdr:rowOff>
        </xdr:from>
        <xdr:to>
          <xdr:col>43</xdr:col>
          <xdr:colOff>103414</xdr:colOff>
          <xdr:row>220</xdr:row>
          <xdr:rowOff>76200</xdr:rowOff>
        </xdr:to>
        <xdr:sp macro=""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240</xdr:row>
          <xdr:rowOff>27214</xdr:rowOff>
        </xdr:from>
        <xdr:to>
          <xdr:col>29</xdr:col>
          <xdr:colOff>65314</xdr:colOff>
          <xdr:row>242</xdr:row>
          <xdr:rowOff>27214</xdr:rowOff>
        </xdr:to>
        <xdr:sp macro=""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HIKING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141514</xdr:colOff>
          <xdr:row>240</xdr:row>
          <xdr:rowOff>38100</xdr:rowOff>
        </xdr:from>
        <xdr:to>
          <xdr:col>34</xdr:col>
          <xdr:colOff>65314</xdr:colOff>
          <xdr:row>242</xdr:row>
          <xdr:rowOff>38100</xdr:rowOff>
        </xdr:to>
        <xdr:sp macro=""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CLIMBING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240</xdr:row>
          <xdr:rowOff>38100</xdr:rowOff>
        </xdr:from>
        <xdr:to>
          <xdr:col>19</xdr:col>
          <xdr:colOff>65314</xdr:colOff>
          <xdr:row>242</xdr:row>
          <xdr:rowOff>38100</xdr:rowOff>
        </xdr:to>
        <xdr:sp macro="" textlink="">
          <xdr:nvSpPr>
            <xdr:cNvPr id="9348" name="Check Box 132" hidden="1">
              <a:extLst>
                <a:ext uri="{63B3BB69-23CF-44E3-9099-C40C66FF867C}">
                  <a14:compatExt spid="_x0000_s9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DAY CAMP OVERNIGHT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240</xdr:row>
          <xdr:rowOff>38100</xdr:rowOff>
        </xdr:from>
        <xdr:to>
          <xdr:col>44</xdr:col>
          <xdr:colOff>103414</xdr:colOff>
          <xdr:row>242</xdr:row>
          <xdr:rowOff>38100</xdr:rowOff>
        </xdr:to>
        <xdr:sp macro="" textlink="">
          <xdr:nvSpPr>
            <xdr:cNvPr id="9349" name="Check Box 133" hidden="1">
              <a:extLst>
                <a:ext uri="{63B3BB69-23CF-44E3-9099-C40C66FF867C}">
                  <a14:compatExt spid="_x0000_s9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OTHER TRAVEL ADVENTURE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240</xdr:row>
          <xdr:rowOff>27214</xdr:rowOff>
        </xdr:from>
        <xdr:to>
          <xdr:col>10</xdr:col>
          <xdr:colOff>152400</xdr:colOff>
          <xdr:row>242</xdr:row>
          <xdr:rowOff>27214</xdr:rowOff>
        </xdr:to>
        <xdr:sp macro="" textlink="">
          <xdr:nvSpPr>
            <xdr:cNvPr id="9350" name="Check Box 134" hidden="1">
              <a:extLst>
                <a:ext uri="{63B3BB69-23CF-44E3-9099-C40C66FF867C}">
                  <a14:compatExt spid="_x0000_s9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218</xdr:row>
          <xdr:rowOff>239486</xdr:rowOff>
        </xdr:from>
        <xdr:to>
          <xdr:col>39</xdr:col>
          <xdr:colOff>87086</xdr:colOff>
          <xdr:row>220</xdr:row>
          <xdr:rowOff>76200</xdr:rowOff>
        </xdr:to>
        <xdr:sp macro="" textlink="">
          <xdr:nvSpPr>
            <xdr:cNvPr id="9353" name="Check Box 137" hidden="1">
              <a:extLst>
                <a:ext uri="{63B3BB69-23CF-44E3-9099-C40C66FF867C}">
                  <a14:compatExt spid="_x0000_s9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INTERNATIONAL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141514</xdr:colOff>
          <xdr:row>257</xdr:row>
          <xdr:rowOff>217714</xdr:rowOff>
        </xdr:from>
        <xdr:to>
          <xdr:col>20</xdr:col>
          <xdr:colOff>65314</xdr:colOff>
          <xdr:row>259</xdr:row>
          <xdr:rowOff>38100</xdr:rowOff>
        </xdr:to>
        <xdr:sp macro="" textlink="">
          <xdr:nvSpPr>
            <xdr:cNvPr id="9354" name="Check Box 138" hidden="1">
              <a:extLst>
                <a:ext uri="{63B3BB69-23CF-44E3-9099-C40C66FF867C}">
                  <a14:compatExt spid="_x0000_s9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BOULDERING WALL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10886</xdr:colOff>
          <xdr:row>257</xdr:row>
          <xdr:rowOff>217714</xdr:rowOff>
        </xdr:from>
        <xdr:to>
          <xdr:col>25</xdr:col>
          <xdr:colOff>114300</xdr:colOff>
          <xdr:row>259</xdr:row>
          <xdr:rowOff>48986</xdr:rowOff>
        </xdr:to>
        <xdr:sp macro="" textlink="">
          <xdr:nvSpPr>
            <xdr:cNvPr id="9355" name="Check Box 139" hidden="1">
              <a:extLst>
                <a:ext uri="{63B3BB69-23CF-44E3-9099-C40C66FF867C}">
                  <a14:compatExt spid="_x0000_s9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LOW ROPES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257</xdr:row>
          <xdr:rowOff>217714</xdr:rowOff>
        </xdr:from>
        <xdr:to>
          <xdr:col>31</xdr:col>
          <xdr:colOff>27214</xdr:colOff>
          <xdr:row>259</xdr:row>
          <xdr:rowOff>48986</xdr:rowOff>
        </xdr:to>
        <xdr:sp macro="" textlink="">
          <xdr:nvSpPr>
            <xdr:cNvPr id="9356" name="Check Box 140" hidden="1">
              <a:extLst>
                <a:ext uri="{63B3BB69-23CF-44E3-9099-C40C66FF867C}">
                  <a14:compatExt spid="_x0000_s9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HIGH ROPES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163286</xdr:colOff>
          <xdr:row>257</xdr:row>
          <xdr:rowOff>217714</xdr:rowOff>
        </xdr:from>
        <xdr:to>
          <xdr:col>10</xdr:col>
          <xdr:colOff>27214</xdr:colOff>
          <xdr:row>259</xdr:row>
          <xdr:rowOff>38100</xdr:rowOff>
        </xdr:to>
        <xdr:sp macro="" textlink="">
          <xdr:nvSpPr>
            <xdr:cNvPr id="9357" name="Check Box 141" hidden="1">
              <a:extLst>
                <a:ext uri="{63B3BB69-23CF-44E3-9099-C40C66FF867C}">
                  <a14:compatExt spid="_x0000_s9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27214</xdr:colOff>
          <xdr:row>257</xdr:row>
          <xdr:rowOff>217714</xdr:rowOff>
        </xdr:from>
        <xdr:to>
          <xdr:col>38</xdr:col>
          <xdr:colOff>179614</xdr:colOff>
          <xdr:row>259</xdr:row>
          <xdr:rowOff>38100</xdr:rowOff>
        </xdr:to>
        <xdr:sp macro="" textlink="">
          <xdr:nvSpPr>
            <xdr:cNvPr id="9358" name="Check Box 142" hidden="1">
              <a:extLst>
                <a:ext uri="{63B3BB69-23CF-44E3-9099-C40C66FF867C}">
                  <a14:compatExt spid="_x0000_s9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NATURAL ROCK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257</xdr:row>
          <xdr:rowOff>217714</xdr:rowOff>
        </xdr:from>
        <xdr:to>
          <xdr:col>43</xdr:col>
          <xdr:colOff>141514</xdr:colOff>
          <xdr:row>259</xdr:row>
          <xdr:rowOff>38100</xdr:rowOff>
        </xdr:to>
        <xdr:sp macro="" textlink="">
          <xdr:nvSpPr>
            <xdr:cNvPr id="9359" name="Check Box 143" hidden="1">
              <a:extLst>
                <a:ext uri="{63B3BB69-23CF-44E3-9099-C40C66FF867C}">
                  <a14:compatExt spid="_x0000_s9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ZIP 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10886</xdr:colOff>
          <xdr:row>275</xdr:row>
          <xdr:rowOff>228600</xdr:rowOff>
        </xdr:from>
        <xdr:to>
          <xdr:col>22</xdr:col>
          <xdr:colOff>48986</xdr:colOff>
          <xdr:row>277</xdr:row>
          <xdr:rowOff>38100</xdr:rowOff>
        </xdr:to>
        <xdr:sp macro="" textlink="">
          <xdr:nvSpPr>
            <xdr:cNvPr id="9360" name="Check Box 144" hidden="1">
              <a:extLst>
                <a:ext uri="{63B3BB69-23CF-44E3-9099-C40C66FF867C}">
                  <a14:compatExt spid="_x0000_s9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TARGET PRACTICE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275</xdr:row>
          <xdr:rowOff>228600</xdr:rowOff>
        </xdr:from>
        <xdr:to>
          <xdr:col>29</xdr:col>
          <xdr:colOff>114300</xdr:colOff>
          <xdr:row>277</xdr:row>
          <xdr:rowOff>38100</xdr:rowOff>
        </xdr:to>
        <xdr:sp macro="" textlink="">
          <xdr:nvSpPr>
            <xdr:cNvPr id="9361" name="Check Box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TEAM BUILDING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48986</xdr:colOff>
          <xdr:row>275</xdr:row>
          <xdr:rowOff>228600</xdr:rowOff>
        </xdr:from>
        <xdr:to>
          <xdr:col>37</xdr:col>
          <xdr:colOff>76200</xdr:colOff>
          <xdr:row>277</xdr:row>
          <xdr:rowOff>38100</xdr:rowOff>
        </xdr:to>
        <xdr:sp macro="" textlink="">
          <xdr:nvSpPr>
            <xdr:cNvPr id="9362" name="Check Box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WAR GAMES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141514</xdr:colOff>
          <xdr:row>275</xdr:row>
          <xdr:rowOff>228600</xdr:rowOff>
        </xdr:from>
        <xdr:to>
          <xdr:col>11</xdr:col>
          <xdr:colOff>201386</xdr:colOff>
          <xdr:row>277</xdr:row>
          <xdr:rowOff>38100</xdr:rowOff>
        </xdr:to>
        <xdr:sp macro="" textlink="">
          <xdr:nvSpPr>
            <xdr:cNvPr id="9363" name="Check Box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141514</xdr:colOff>
          <xdr:row>275</xdr:row>
          <xdr:rowOff>228600</xdr:rowOff>
        </xdr:from>
        <xdr:to>
          <xdr:col>43</xdr:col>
          <xdr:colOff>0</xdr:colOff>
          <xdr:row>277</xdr:row>
          <xdr:rowOff>38100</xdr:rowOff>
        </xdr:to>
        <xdr:sp macro="" textlink="">
          <xdr:nvSpPr>
            <xdr:cNvPr id="9364" name="Check Box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294</xdr:row>
          <xdr:rowOff>38100</xdr:rowOff>
        </xdr:from>
        <xdr:to>
          <xdr:col>14</xdr:col>
          <xdr:colOff>179614</xdr:colOff>
          <xdr:row>296</xdr:row>
          <xdr:rowOff>38100</xdr:rowOff>
        </xdr:to>
        <xdr:sp macro=""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87086</xdr:colOff>
          <xdr:row>294</xdr:row>
          <xdr:rowOff>38100</xdr:rowOff>
        </xdr:from>
        <xdr:to>
          <xdr:col>22</xdr:col>
          <xdr:colOff>201386</xdr:colOff>
          <xdr:row>296</xdr:row>
          <xdr:rowOff>38100</xdr:rowOff>
        </xdr:to>
        <xdr:sp macro=""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PELLET-multiple pump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294</xdr:row>
          <xdr:rowOff>38100</xdr:rowOff>
        </xdr:from>
        <xdr:to>
          <xdr:col>28</xdr:col>
          <xdr:colOff>179614</xdr:colOff>
          <xdr:row>296</xdr:row>
          <xdr:rowOff>38100</xdr:rowOff>
        </xdr:to>
        <xdr:sp macro=""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PELLET-all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141514</xdr:colOff>
          <xdr:row>294</xdr:row>
          <xdr:rowOff>38100</xdr:rowOff>
        </xdr:from>
        <xdr:to>
          <xdr:col>11</xdr:col>
          <xdr:colOff>201386</xdr:colOff>
          <xdr:row>296</xdr:row>
          <xdr:rowOff>38100</xdr:rowOff>
        </xdr:to>
        <xdr:sp macro=""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125186</xdr:colOff>
          <xdr:row>294</xdr:row>
          <xdr:rowOff>27214</xdr:rowOff>
        </xdr:from>
        <xdr:to>
          <xdr:col>33</xdr:col>
          <xdr:colOff>152400</xdr:colOff>
          <xdr:row>296</xdr:row>
          <xdr:rowOff>27214</xdr:rowOff>
        </xdr:to>
        <xdr:sp macro=""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.22 short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87086</xdr:colOff>
          <xdr:row>294</xdr:row>
          <xdr:rowOff>27214</xdr:rowOff>
        </xdr:from>
        <xdr:to>
          <xdr:col>39</xdr:col>
          <xdr:colOff>48986</xdr:colOff>
          <xdr:row>296</xdr:row>
          <xdr:rowOff>27214</xdr:rowOff>
        </xdr:to>
        <xdr:sp macro=""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.22-all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65314</xdr:colOff>
          <xdr:row>294</xdr:row>
          <xdr:rowOff>38100</xdr:rowOff>
        </xdr:from>
        <xdr:to>
          <xdr:col>43</xdr:col>
          <xdr:colOff>103414</xdr:colOff>
          <xdr:row>296</xdr:row>
          <xdr:rowOff>38100</xdr:rowOff>
        </xdr:to>
        <xdr:sp macro=""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65314</xdr:colOff>
          <xdr:row>312</xdr:row>
          <xdr:rowOff>38100</xdr:rowOff>
        </xdr:from>
        <xdr:to>
          <xdr:col>20</xdr:col>
          <xdr:colOff>201386</xdr:colOff>
          <xdr:row>314</xdr:row>
          <xdr:rowOff>38100</xdr:rowOff>
        </xdr:to>
        <xdr:sp macro=""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CONTROLLED RANGE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141514</xdr:colOff>
          <xdr:row>312</xdr:row>
          <xdr:rowOff>38100</xdr:rowOff>
        </xdr:from>
        <xdr:to>
          <xdr:col>11</xdr:col>
          <xdr:colOff>201386</xdr:colOff>
          <xdr:row>314</xdr:row>
          <xdr:rowOff>38100</xdr:rowOff>
        </xdr:to>
        <xdr:sp macro=""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328</xdr:row>
          <xdr:rowOff>163286</xdr:rowOff>
        </xdr:from>
        <xdr:to>
          <xdr:col>12</xdr:col>
          <xdr:colOff>0</xdr:colOff>
          <xdr:row>330</xdr:row>
          <xdr:rowOff>38100</xdr:rowOff>
        </xdr:to>
        <xdr:sp macro=""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452</xdr:row>
          <xdr:rowOff>48986</xdr:rowOff>
        </xdr:from>
        <xdr:to>
          <xdr:col>42</xdr:col>
          <xdr:colOff>114300</xdr:colOff>
          <xdr:row>452</xdr:row>
          <xdr:rowOff>391886</xdr:rowOff>
        </xdr:to>
        <xdr:sp macro="" textlink="">
          <xdr:nvSpPr>
            <xdr:cNvPr id="9408" name="Check Box 192" hidden="1">
              <a:extLst>
                <a:ext uri="{63B3BB69-23CF-44E3-9099-C40C66FF867C}">
                  <a14:compatExt spid="_x0000_s9408"/>
                </a:ext>
              </a:extLst>
            </xdr:cNvPr>
            <xdr:cNvSpPr/>
          </xdr:nvSpPr>
          <xdr:spPr bwMode="auto">
            <a:xfrm>
              <a:off x="0" y="0"/>
              <a:ext cx="0" cy="0"/>
            </a:xfrm>
            <a:prstGeom prst="rect">
              <a:avLst/>
            </a:prstGeom>
            <a:solidFill>
              <a:srgbClr val="99CCFF" mc:Ignorable="a14" a14:legacySpreadsheetColorIndex="44">
                <a:alpha val="32001"/>
              </a:srgbClr>
            </a:solidFill>
            <a:ln w="9525">
              <a:solidFill>
                <a:srgbClr val="000000"/>
              </a:solidFill>
              <a:miter lim="800000"/>
              <a:headEnd/>
              <a:tailEnd/>
            </a:ln>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NO COOKING OR FOOD SERVICE PROVIDED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103414</xdr:rowOff>
        </xdr:from>
        <xdr:to>
          <xdr:col>7</xdr:col>
          <xdr:colOff>163286</xdr:colOff>
          <xdr:row>123</xdr:row>
          <xdr:rowOff>76200</xdr:rowOff>
        </xdr:to>
        <xdr:sp macro="" textlink="">
          <xdr:nvSpPr>
            <xdr:cNvPr id="9488" name="Option Button 272" hidden="1">
              <a:extLst>
                <a:ext uri="{63B3BB69-23CF-44E3-9099-C40C66FF867C}">
                  <a14:compatExt spid="_x0000_s9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121</xdr:row>
          <xdr:rowOff>103414</xdr:rowOff>
        </xdr:from>
        <xdr:to>
          <xdr:col>9</xdr:col>
          <xdr:colOff>76200</xdr:colOff>
          <xdr:row>123</xdr:row>
          <xdr:rowOff>76200</xdr:rowOff>
        </xdr:to>
        <xdr:sp macro="" textlink="">
          <xdr:nvSpPr>
            <xdr:cNvPr id="9489" name="Option Button 273" hidden="1">
              <a:extLst>
                <a:ext uri="{63B3BB69-23CF-44E3-9099-C40C66FF867C}">
                  <a14:compatExt spid="_x0000_s9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121</xdr:row>
          <xdr:rowOff>103414</xdr:rowOff>
        </xdr:from>
        <xdr:to>
          <xdr:col>10</xdr:col>
          <xdr:colOff>179614</xdr:colOff>
          <xdr:row>123</xdr:row>
          <xdr:rowOff>76200</xdr:rowOff>
        </xdr:to>
        <xdr:sp macro="" textlink="">
          <xdr:nvSpPr>
            <xdr:cNvPr id="9490" name="Option Button 274" hidden="1">
              <a:extLst>
                <a:ext uri="{63B3BB69-23CF-44E3-9099-C40C66FF867C}">
                  <a14:compatExt spid="_x0000_s9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117</xdr:row>
          <xdr:rowOff>125186</xdr:rowOff>
        </xdr:from>
        <xdr:to>
          <xdr:col>7</xdr:col>
          <xdr:colOff>163286</xdr:colOff>
          <xdr:row>118</xdr:row>
          <xdr:rowOff>255814</xdr:rowOff>
        </xdr:to>
        <xdr:sp macro="" textlink="">
          <xdr:nvSpPr>
            <xdr:cNvPr id="9492" name="Option Button 276" hidden="1">
              <a:extLst>
                <a:ext uri="{63B3BB69-23CF-44E3-9099-C40C66FF867C}">
                  <a14:compatExt spid="_x0000_s9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117</xdr:row>
          <xdr:rowOff>125186</xdr:rowOff>
        </xdr:from>
        <xdr:to>
          <xdr:col>9</xdr:col>
          <xdr:colOff>76200</xdr:colOff>
          <xdr:row>118</xdr:row>
          <xdr:rowOff>255814</xdr:rowOff>
        </xdr:to>
        <xdr:sp macro="" textlink="">
          <xdr:nvSpPr>
            <xdr:cNvPr id="9493" name="Option Button 277" hidden="1">
              <a:extLst>
                <a:ext uri="{63B3BB69-23CF-44E3-9099-C40C66FF867C}">
                  <a14:compatExt spid="_x0000_s9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117</xdr:row>
          <xdr:rowOff>125186</xdr:rowOff>
        </xdr:from>
        <xdr:to>
          <xdr:col>10</xdr:col>
          <xdr:colOff>179614</xdr:colOff>
          <xdr:row>118</xdr:row>
          <xdr:rowOff>255814</xdr:rowOff>
        </xdr:to>
        <xdr:sp macro="" textlink="">
          <xdr:nvSpPr>
            <xdr:cNvPr id="9494" name="Option Button 278" hidden="1">
              <a:extLst>
                <a:ext uri="{63B3BB69-23CF-44E3-9099-C40C66FF867C}">
                  <a14:compatExt spid="_x0000_s94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125</xdr:row>
          <xdr:rowOff>103414</xdr:rowOff>
        </xdr:from>
        <xdr:to>
          <xdr:col>7</xdr:col>
          <xdr:colOff>163286</xdr:colOff>
          <xdr:row>126</xdr:row>
          <xdr:rowOff>293914</xdr:rowOff>
        </xdr:to>
        <xdr:sp macro="" textlink="">
          <xdr:nvSpPr>
            <xdr:cNvPr id="9496" name="Option Button 280" hidden="1">
              <a:extLst>
                <a:ext uri="{63B3BB69-23CF-44E3-9099-C40C66FF867C}">
                  <a14:compatExt spid="_x0000_s94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125</xdr:row>
          <xdr:rowOff>103414</xdr:rowOff>
        </xdr:from>
        <xdr:to>
          <xdr:col>9</xdr:col>
          <xdr:colOff>76200</xdr:colOff>
          <xdr:row>126</xdr:row>
          <xdr:rowOff>293914</xdr:rowOff>
        </xdr:to>
        <xdr:sp macro="" textlink="">
          <xdr:nvSpPr>
            <xdr:cNvPr id="9497" name="Option Button 281" hidden="1">
              <a:extLst>
                <a:ext uri="{63B3BB69-23CF-44E3-9099-C40C66FF867C}">
                  <a14:compatExt spid="_x0000_s94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125</xdr:row>
          <xdr:rowOff>103414</xdr:rowOff>
        </xdr:from>
        <xdr:to>
          <xdr:col>10</xdr:col>
          <xdr:colOff>179614</xdr:colOff>
          <xdr:row>126</xdr:row>
          <xdr:rowOff>293914</xdr:rowOff>
        </xdr:to>
        <xdr:sp macro="" textlink="">
          <xdr:nvSpPr>
            <xdr:cNvPr id="9498" name="Option Button 282" hidden="1">
              <a:extLst>
                <a:ext uri="{63B3BB69-23CF-44E3-9099-C40C66FF867C}">
                  <a14:compatExt spid="_x0000_s94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117</xdr:row>
          <xdr:rowOff>0</xdr:rowOff>
        </xdr:from>
        <xdr:to>
          <xdr:col>11</xdr:col>
          <xdr:colOff>0</xdr:colOff>
          <xdr:row>118</xdr:row>
          <xdr:rowOff>304800</xdr:rowOff>
        </xdr:to>
        <xdr:sp macro="" textlink="">
          <xdr:nvSpPr>
            <xdr:cNvPr id="9500" name="Group Box 284" hidden="1">
              <a:extLst>
                <a:ext uri="{63B3BB69-23CF-44E3-9099-C40C66FF867C}">
                  <a14:compatExt spid="_x0000_s9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120</xdr:row>
          <xdr:rowOff>391886</xdr:rowOff>
        </xdr:from>
        <xdr:to>
          <xdr:col>10</xdr:col>
          <xdr:colOff>190500</xdr:colOff>
          <xdr:row>124</xdr:row>
          <xdr:rowOff>0</xdr:rowOff>
        </xdr:to>
        <xdr:sp macro="" textlink="">
          <xdr:nvSpPr>
            <xdr:cNvPr id="9501" name="Group Box 285" hidden="1">
              <a:extLst>
                <a:ext uri="{63B3BB69-23CF-44E3-9099-C40C66FF867C}">
                  <a14:compatExt spid="_x0000_s9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125</xdr:row>
          <xdr:rowOff>27214</xdr:rowOff>
        </xdr:from>
        <xdr:to>
          <xdr:col>11</xdr:col>
          <xdr:colOff>10886</xdr:colOff>
          <xdr:row>126</xdr:row>
          <xdr:rowOff>342900</xdr:rowOff>
        </xdr:to>
        <xdr:sp macro="" textlink="">
          <xdr:nvSpPr>
            <xdr:cNvPr id="9502" name="Group Box 286" hidden="1">
              <a:extLst>
                <a:ext uri="{63B3BB69-23CF-44E3-9099-C40C66FF867C}">
                  <a14:compatExt spid="_x0000_s95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129</xdr:row>
          <xdr:rowOff>38100</xdr:rowOff>
        </xdr:from>
        <xdr:to>
          <xdr:col>7</xdr:col>
          <xdr:colOff>163286</xdr:colOff>
          <xdr:row>131</xdr:row>
          <xdr:rowOff>38100</xdr:rowOff>
        </xdr:to>
        <xdr:sp macro="" textlink="">
          <xdr:nvSpPr>
            <xdr:cNvPr id="9505" name="Option Button 289" hidden="1">
              <a:extLst>
                <a:ext uri="{63B3BB69-23CF-44E3-9099-C40C66FF867C}">
                  <a14:compatExt spid="_x0000_s9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129</xdr:row>
          <xdr:rowOff>38100</xdr:rowOff>
        </xdr:from>
        <xdr:to>
          <xdr:col>9</xdr:col>
          <xdr:colOff>76200</xdr:colOff>
          <xdr:row>131</xdr:row>
          <xdr:rowOff>38100</xdr:rowOff>
        </xdr:to>
        <xdr:sp macro="" textlink="">
          <xdr:nvSpPr>
            <xdr:cNvPr id="9506" name="Option Button 290" hidden="1">
              <a:extLst>
                <a:ext uri="{63B3BB69-23CF-44E3-9099-C40C66FF867C}">
                  <a14:compatExt spid="_x0000_s9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133</xdr:row>
          <xdr:rowOff>114300</xdr:rowOff>
        </xdr:from>
        <xdr:to>
          <xdr:col>7</xdr:col>
          <xdr:colOff>163286</xdr:colOff>
          <xdr:row>136</xdr:row>
          <xdr:rowOff>0</xdr:rowOff>
        </xdr:to>
        <xdr:sp macro="" textlink="">
          <xdr:nvSpPr>
            <xdr:cNvPr id="9509" name="Option Button 293" hidden="1">
              <a:extLst>
                <a:ext uri="{63B3BB69-23CF-44E3-9099-C40C66FF867C}">
                  <a14:compatExt spid="_x0000_s9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133</xdr:row>
          <xdr:rowOff>114300</xdr:rowOff>
        </xdr:from>
        <xdr:to>
          <xdr:col>9</xdr:col>
          <xdr:colOff>76200</xdr:colOff>
          <xdr:row>136</xdr:row>
          <xdr:rowOff>0</xdr:rowOff>
        </xdr:to>
        <xdr:sp macro="" textlink="">
          <xdr:nvSpPr>
            <xdr:cNvPr id="9510" name="Option Button 294" hidden="1">
              <a:extLst>
                <a:ext uri="{63B3BB69-23CF-44E3-9099-C40C66FF867C}">
                  <a14:compatExt spid="_x0000_s95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129</xdr:row>
          <xdr:rowOff>10886</xdr:rowOff>
        </xdr:from>
        <xdr:to>
          <xdr:col>10</xdr:col>
          <xdr:colOff>217714</xdr:colOff>
          <xdr:row>132</xdr:row>
          <xdr:rowOff>10886</xdr:rowOff>
        </xdr:to>
        <xdr:sp macro="" textlink="">
          <xdr:nvSpPr>
            <xdr:cNvPr id="9511" name="Group Box 295" hidden="1">
              <a:extLst>
                <a:ext uri="{63B3BB69-23CF-44E3-9099-C40C66FF867C}">
                  <a14:compatExt spid="_x0000_s95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27214</xdr:colOff>
          <xdr:row>132</xdr:row>
          <xdr:rowOff>201386</xdr:rowOff>
        </xdr:from>
        <xdr:to>
          <xdr:col>11</xdr:col>
          <xdr:colOff>0</xdr:colOff>
          <xdr:row>136</xdr:row>
          <xdr:rowOff>38100</xdr:rowOff>
        </xdr:to>
        <xdr:sp macro="" textlink="">
          <xdr:nvSpPr>
            <xdr:cNvPr id="9512" name="Group Box 296" hidden="1">
              <a:extLst>
                <a:ext uri="{63B3BB69-23CF-44E3-9099-C40C66FF867C}">
                  <a14:compatExt spid="_x0000_s95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143</xdr:row>
          <xdr:rowOff>114300</xdr:rowOff>
        </xdr:from>
        <xdr:to>
          <xdr:col>7</xdr:col>
          <xdr:colOff>163286</xdr:colOff>
          <xdr:row>144</xdr:row>
          <xdr:rowOff>293914</xdr:rowOff>
        </xdr:to>
        <xdr:sp macro="" textlink="">
          <xdr:nvSpPr>
            <xdr:cNvPr id="9513" name="Option Button 297" hidden="1">
              <a:extLst>
                <a:ext uri="{63B3BB69-23CF-44E3-9099-C40C66FF867C}">
                  <a14:compatExt spid="_x0000_s9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143</xdr:row>
          <xdr:rowOff>114300</xdr:rowOff>
        </xdr:from>
        <xdr:to>
          <xdr:col>9</xdr:col>
          <xdr:colOff>76200</xdr:colOff>
          <xdr:row>144</xdr:row>
          <xdr:rowOff>293914</xdr:rowOff>
        </xdr:to>
        <xdr:sp macro="" textlink="">
          <xdr:nvSpPr>
            <xdr:cNvPr id="9514" name="Option Button 298" hidden="1">
              <a:extLst>
                <a:ext uri="{63B3BB69-23CF-44E3-9099-C40C66FF867C}">
                  <a14:compatExt spid="_x0000_s9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143</xdr:row>
          <xdr:rowOff>114300</xdr:rowOff>
        </xdr:from>
        <xdr:to>
          <xdr:col>10</xdr:col>
          <xdr:colOff>179614</xdr:colOff>
          <xdr:row>144</xdr:row>
          <xdr:rowOff>293914</xdr:rowOff>
        </xdr:to>
        <xdr:sp macro="" textlink="">
          <xdr:nvSpPr>
            <xdr:cNvPr id="9515" name="Option Button 299" hidden="1">
              <a:extLst>
                <a:ext uri="{63B3BB69-23CF-44E3-9099-C40C66FF867C}">
                  <a14:compatExt spid="_x0000_s9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139</xdr:row>
          <xdr:rowOff>114300</xdr:rowOff>
        </xdr:from>
        <xdr:to>
          <xdr:col>7</xdr:col>
          <xdr:colOff>163286</xdr:colOff>
          <xdr:row>141</xdr:row>
          <xdr:rowOff>10886</xdr:rowOff>
        </xdr:to>
        <xdr:sp macro="" textlink="">
          <xdr:nvSpPr>
            <xdr:cNvPr id="9516" name="Option Button 300" hidden="1">
              <a:extLst>
                <a:ext uri="{63B3BB69-23CF-44E3-9099-C40C66FF867C}">
                  <a14:compatExt spid="_x0000_s9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139</xdr:row>
          <xdr:rowOff>114300</xdr:rowOff>
        </xdr:from>
        <xdr:to>
          <xdr:col>9</xdr:col>
          <xdr:colOff>76200</xdr:colOff>
          <xdr:row>141</xdr:row>
          <xdr:rowOff>10886</xdr:rowOff>
        </xdr:to>
        <xdr:sp macro="" textlink="">
          <xdr:nvSpPr>
            <xdr:cNvPr id="9517" name="Option Button 301" hidden="1">
              <a:extLst>
                <a:ext uri="{63B3BB69-23CF-44E3-9099-C40C66FF867C}">
                  <a14:compatExt spid="_x0000_s9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139</xdr:row>
          <xdr:rowOff>114300</xdr:rowOff>
        </xdr:from>
        <xdr:to>
          <xdr:col>10</xdr:col>
          <xdr:colOff>179614</xdr:colOff>
          <xdr:row>141</xdr:row>
          <xdr:rowOff>10886</xdr:rowOff>
        </xdr:to>
        <xdr:sp macro="" textlink="">
          <xdr:nvSpPr>
            <xdr:cNvPr id="9518" name="Option Button 302" hidden="1">
              <a:extLst>
                <a:ext uri="{63B3BB69-23CF-44E3-9099-C40C66FF867C}">
                  <a14:compatExt spid="_x0000_s9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147</xdr:row>
          <xdr:rowOff>266700</xdr:rowOff>
        </xdr:from>
        <xdr:to>
          <xdr:col>7</xdr:col>
          <xdr:colOff>163286</xdr:colOff>
          <xdr:row>148</xdr:row>
          <xdr:rowOff>293914</xdr:rowOff>
        </xdr:to>
        <xdr:sp macro="" textlink="">
          <xdr:nvSpPr>
            <xdr:cNvPr id="9519" name="Option Button 303" hidden="1">
              <a:extLst>
                <a:ext uri="{63B3BB69-23CF-44E3-9099-C40C66FF867C}">
                  <a14:compatExt spid="_x0000_s9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147</xdr:row>
          <xdr:rowOff>266700</xdr:rowOff>
        </xdr:from>
        <xdr:to>
          <xdr:col>9</xdr:col>
          <xdr:colOff>76200</xdr:colOff>
          <xdr:row>148</xdr:row>
          <xdr:rowOff>293914</xdr:rowOff>
        </xdr:to>
        <xdr:sp macro="" textlink="">
          <xdr:nvSpPr>
            <xdr:cNvPr id="9520" name="Option Button 304" hidden="1">
              <a:extLst>
                <a:ext uri="{63B3BB69-23CF-44E3-9099-C40C66FF867C}">
                  <a14:compatExt spid="_x0000_s9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147</xdr:row>
          <xdr:rowOff>266700</xdr:rowOff>
        </xdr:from>
        <xdr:to>
          <xdr:col>10</xdr:col>
          <xdr:colOff>179614</xdr:colOff>
          <xdr:row>148</xdr:row>
          <xdr:rowOff>293914</xdr:rowOff>
        </xdr:to>
        <xdr:sp macro="" textlink="">
          <xdr:nvSpPr>
            <xdr:cNvPr id="9521" name="Option Button 305" hidden="1">
              <a:extLst>
                <a:ext uri="{63B3BB69-23CF-44E3-9099-C40C66FF867C}">
                  <a14:compatExt spid="_x0000_s9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139</xdr:row>
          <xdr:rowOff>0</xdr:rowOff>
        </xdr:from>
        <xdr:to>
          <xdr:col>10</xdr:col>
          <xdr:colOff>201386</xdr:colOff>
          <xdr:row>141</xdr:row>
          <xdr:rowOff>65314</xdr:rowOff>
        </xdr:to>
        <xdr:sp macro="" textlink="">
          <xdr:nvSpPr>
            <xdr:cNvPr id="9522" name="Group Box 306" hidden="1">
              <a:extLst>
                <a:ext uri="{63B3BB69-23CF-44E3-9099-C40C66FF867C}">
                  <a14:compatExt spid="_x0000_s95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143</xdr:row>
          <xdr:rowOff>0</xdr:rowOff>
        </xdr:from>
        <xdr:to>
          <xdr:col>10</xdr:col>
          <xdr:colOff>217714</xdr:colOff>
          <xdr:row>144</xdr:row>
          <xdr:rowOff>408214</xdr:rowOff>
        </xdr:to>
        <xdr:sp macro="" textlink="">
          <xdr:nvSpPr>
            <xdr:cNvPr id="9523" name="Group Box 307" hidden="1">
              <a:extLst>
                <a:ext uri="{63B3BB69-23CF-44E3-9099-C40C66FF867C}">
                  <a14:compatExt spid="_x0000_s95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147</xdr:row>
          <xdr:rowOff>10886</xdr:rowOff>
        </xdr:from>
        <xdr:to>
          <xdr:col>10</xdr:col>
          <xdr:colOff>201386</xdr:colOff>
          <xdr:row>148</xdr:row>
          <xdr:rowOff>419100</xdr:rowOff>
        </xdr:to>
        <xdr:sp macro="" textlink="">
          <xdr:nvSpPr>
            <xdr:cNvPr id="9524" name="Group Box 308" hidden="1">
              <a:extLst>
                <a:ext uri="{63B3BB69-23CF-44E3-9099-C40C66FF867C}">
                  <a14:compatExt spid="_x0000_s95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151</xdr:row>
          <xdr:rowOff>114300</xdr:rowOff>
        </xdr:from>
        <xdr:to>
          <xdr:col>7</xdr:col>
          <xdr:colOff>163286</xdr:colOff>
          <xdr:row>152</xdr:row>
          <xdr:rowOff>293914</xdr:rowOff>
        </xdr:to>
        <xdr:sp macro="" textlink="">
          <xdr:nvSpPr>
            <xdr:cNvPr id="9525" name="Option Button 309" hidden="1">
              <a:extLst>
                <a:ext uri="{63B3BB69-23CF-44E3-9099-C40C66FF867C}">
                  <a14:compatExt spid="_x0000_s9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151</xdr:row>
          <xdr:rowOff>114300</xdr:rowOff>
        </xdr:from>
        <xdr:to>
          <xdr:col>9</xdr:col>
          <xdr:colOff>76200</xdr:colOff>
          <xdr:row>152</xdr:row>
          <xdr:rowOff>293914</xdr:rowOff>
        </xdr:to>
        <xdr:sp macro="" textlink="">
          <xdr:nvSpPr>
            <xdr:cNvPr id="9526" name="Option Button 310" hidden="1">
              <a:extLst>
                <a:ext uri="{63B3BB69-23CF-44E3-9099-C40C66FF867C}">
                  <a14:compatExt spid="_x0000_s9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151</xdr:row>
          <xdr:rowOff>114300</xdr:rowOff>
        </xdr:from>
        <xdr:to>
          <xdr:col>10</xdr:col>
          <xdr:colOff>179614</xdr:colOff>
          <xdr:row>152</xdr:row>
          <xdr:rowOff>293914</xdr:rowOff>
        </xdr:to>
        <xdr:sp macro="" textlink="">
          <xdr:nvSpPr>
            <xdr:cNvPr id="9527" name="Option Button 311" hidden="1">
              <a:extLst>
                <a:ext uri="{63B3BB69-23CF-44E3-9099-C40C66FF867C}">
                  <a14:compatExt spid="_x0000_s9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155</xdr:row>
          <xdr:rowOff>163286</xdr:rowOff>
        </xdr:from>
        <xdr:to>
          <xdr:col>7</xdr:col>
          <xdr:colOff>163286</xdr:colOff>
          <xdr:row>156</xdr:row>
          <xdr:rowOff>293914</xdr:rowOff>
        </xdr:to>
        <xdr:sp macro="" textlink="">
          <xdr:nvSpPr>
            <xdr:cNvPr id="9528" name="Option Button 312" hidden="1">
              <a:extLst>
                <a:ext uri="{63B3BB69-23CF-44E3-9099-C40C66FF867C}">
                  <a14:compatExt spid="_x0000_s9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155</xdr:row>
          <xdr:rowOff>163286</xdr:rowOff>
        </xdr:from>
        <xdr:to>
          <xdr:col>9</xdr:col>
          <xdr:colOff>76200</xdr:colOff>
          <xdr:row>156</xdr:row>
          <xdr:rowOff>293914</xdr:rowOff>
        </xdr:to>
        <xdr:sp macro="" textlink="">
          <xdr:nvSpPr>
            <xdr:cNvPr id="9529" name="Option Button 313" hidden="1">
              <a:extLst>
                <a:ext uri="{63B3BB69-23CF-44E3-9099-C40C66FF867C}">
                  <a14:compatExt spid="_x0000_s9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155</xdr:row>
          <xdr:rowOff>163286</xdr:rowOff>
        </xdr:from>
        <xdr:to>
          <xdr:col>10</xdr:col>
          <xdr:colOff>179614</xdr:colOff>
          <xdr:row>156</xdr:row>
          <xdr:rowOff>293914</xdr:rowOff>
        </xdr:to>
        <xdr:sp macro="" textlink="">
          <xdr:nvSpPr>
            <xdr:cNvPr id="9530" name="Option Button 314" hidden="1">
              <a:extLst>
                <a:ext uri="{63B3BB69-23CF-44E3-9099-C40C66FF867C}">
                  <a14:compatExt spid="_x0000_s95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159</xdr:row>
          <xdr:rowOff>114300</xdr:rowOff>
        </xdr:from>
        <xdr:to>
          <xdr:col>7</xdr:col>
          <xdr:colOff>163286</xdr:colOff>
          <xdr:row>160</xdr:row>
          <xdr:rowOff>255814</xdr:rowOff>
        </xdr:to>
        <xdr:sp macro="" textlink="">
          <xdr:nvSpPr>
            <xdr:cNvPr id="9531" name="Option Button 315" hidden="1">
              <a:extLst>
                <a:ext uri="{63B3BB69-23CF-44E3-9099-C40C66FF867C}">
                  <a14:compatExt spid="_x0000_s9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159</xdr:row>
          <xdr:rowOff>114300</xdr:rowOff>
        </xdr:from>
        <xdr:to>
          <xdr:col>9</xdr:col>
          <xdr:colOff>76200</xdr:colOff>
          <xdr:row>160</xdr:row>
          <xdr:rowOff>255814</xdr:rowOff>
        </xdr:to>
        <xdr:sp macro="" textlink="">
          <xdr:nvSpPr>
            <xdr:cNvPr id="9532" name="Option Button 316" hidden="1">
              <a:extLst>
                <a:ext uri="{63B3BB69-23CF-44E3-9099-C40C66FF867C}">
                  <a14:compatExt spid="_x0000_s9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159</xdr:row>
          <xdr:rowOff>114300</xdr:rowOff>
        </xdr:from>
        <xdr:to>
          <xdr:col>10</xdr:col>
          <xdr:colOff>179614</xdr:colOff>
          <xdr:row>160</xdr:row>
          <xdr:rowOff>255814</xdr:rowOff>
        </xdr:to>
        <xdr:sp macro="" textlink="">
          <xdr:nvSpPr>
            <xdr:cNvPr id="9533" name="Option Button 317" hidden="1">
              <a:extLst>
                <a:ext uri="{63B3BB69-23CF-44E3-9099-C40C66FF867C}">
                  <a14:compatExt spid="_x0000_s9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161</xdr:row>
          <xdr:rowOff>125186</xdr:rowOff>
        </xdr:from>
        <xdr:to>
          <xdr:col>7</xdr:col>
          <xdr:colOff>163286</xdr:colOff>
          <xdr:row>163</xdr:row>
          <xdr:rowOff>76200</xdr:rowOff>
        </xdr:to>
        <xdr:sp macro="" textlink="">
          <xdr:nvSpPr>
            <xdr:cNvPr id="9534" name="Option Button 318" hidden="1">
              <a:extLst>
                <a:ext uri="{63B3BB69-23CF-44E3-9099-C40C66FF867C}">
                  <a14:compatExt spid="_x0000_s95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161</xdr:row>
          <xdr:rowOff>125186</xdr:rowOff>
        </xdr:from>
        <xdr:to>
          <xdr:col>9</xdr:col>
          <xdr:colOff>76200</xdr:colOff>
          <xdr:row>163</xdr:row>
          <xdr:rowOff>76200</xdr:rowOff>
        </xdr:to>
        <xdr:sp macro="" textlink="">
          <xdr:nvSpPr>
            <xdr:cNvPr id="9535" name="Option Button 319" hidden="1">
              <a:extLst>
                <a:ext uri="{63B3BB69-23CF-44E3-9099-C40C66FF867C}">
                  <a14:compatExt spid="_x0000_s95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163</xdr:row>
          <xdr:rowOff>152400</xdr:rowOff>
        </xdr:from>
        <xdr:to>
          <xdr:col>7</xdr:col>
          <xdr:colOff>163286</xdr:colOff>
          <xdr:row>165</xdr:row>
          <xdr:rowOff>76200</xdr:rowOff>
        </xdr:to>
        <xdr:sp macro="" textlink="">
          <xdr:nvSpPr>
            <xdr:cNvPr id="9536" name="Option Button 320" hidden="1">
              <a:extLst>
                <a:ext uri="{63B3BB69-23CF-44E3-9099-C40C66FF867C}">
                  <a14:compatExt spid="_x0000_s9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163</xdr:row>
          <xdr:rowOff>152400</xdr:rowOff>
        </xdr:from>
        <xdr:to>
          <xdr:col>9</xdr:col>
          <xdr:colOff>76200</xdr:colOff>
          <xdr:row>165</xdr:row>
          <xdr:rowOff>76200</xdr:rowOff>
        </xdr:to>
        <xdr:sp macro="" textlink="">
          <xdr:nvSpPr>
            <xdr:cNvPr id="9537" name="Option Button 321" hidden="1">
              <a:extLst>
                <a:ext uri="{63B3BB69-23CF-44E3-9099-C40C66FF867C}">
                  <a14:compatExt spid="_x0000_s95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165</xdr:row>
          <xdr:rowOff>179614</xdr:rowOff>
        </xdr:from>
        <xdr:to>
          <xdr:col>7</xdr:col>
          <xdr:colOff>163286</xdr:colOff>
          <xdr:row>167</xdr:row>
          <xdr:rowOff>76200</xdr:rowOff>
        </xdr:to>
        <xdr:sp macro="" textlink="">
          <xdr:nvSpPr>
            <xdr:cNvPr id="9538" name="Option Button 322" hidden="1">
              <a:extLst>
                <a:ext uri="{63B3BB69-23CF-44E3-9099-C40C66FF867C}">
                  <a14:compatExt spid="_x0000_s95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165</xdr:row>
          <xdr:rowOff>179614</xdr:rowOff>
        </xdr:from>
        <xdr:to>
          <xdr:col>9</xdr:col>
          <xdr:colOff>76200</xdr:colOff>
          <xdr:row>167</xdr:row>
          <xdr:rowOff>76200</xdr:rowOff>
        </xdr:to>
        <xdr:sp macro="" textlink="">
          <xdr:nvSpPr>
            <xdr:cNvPr id="9539" name="Option Button 323" hidden="1">
              <a:extLst>
                <a:ext uri="{63B3BB69-23CF-44E3-9099-C40C66FF867C}">
                  <a14:compatExt spid="_x0000_s9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167</xdr:row>
          <xdr:rowOff>179614</xdr:rowOff>
        </xdr:from>
        <xdr:to>
          <xdr:col>7</xdr:col>
          <xdr:colOff>163286</xdr:colOff>
          <xdr:row>168</xdr:row>
          <xdr:rowOff>293914</xdr:rowOff>
        </xdr:to>
        <xdr:sp macro="" textlink="">
          <xdr:nvSpPr>
            <xdr:cNvPr id="9542" name="Option Button 326" hidden="1">
              <a:extLst>
                <a:ext uri="{63B3BB69-23CF-44E3-9099-C40C66FF867C}">
                  <a14:compatExt spid="_x0000_s9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167</xdr:row>
          <xdr:rowOff>179614</xdr:rowOff>
        </xdr:from>
        <xdr:to>
          <xdr:col>9</xdr:col>
          <xdr:colOff>76200</xdr:colOff>
          <xdr:row>168</xdr:row>
          <xdr:rowOff>293914</xdr:rowOff>
        </xdr:to>
        <xdr:sp macro="" textlink="">
          <xdr:nvSpPr>
            <xdr:cNvPr id="9543" name="Option Button 327" hidden="1">
              <a:extLst>
                <a:ext uri="{63B3BB69-23CF-44E3-9099-C40C66FF867C}">
                  <a14:compatExt spid="_x0000_s9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151</xdr:row>
          <xdr:rowOff>10886</xdr:rowOff>
        </xdr:from>
        <xdr:to>
          <xdr:col>10</xdr:col>
          <xdr:colOff>217714</xdr:colOff>
          <xdr:row>152</xdr:row>
          <xdr:rowOff>419100</xdr:rowOff>
        </xdr:to>
        <xdr:sp macro="" textlink="">
          <xdr:nvSpPr>
            <xdr:cNvPr id="9544" name="Group Box 328" hidden="1">
              <a:extLst>
                <a:ext uri="{63B3BB69-23CF-44E3-9099-C40C66FF867C}">
                  <a14:compatExt spid="_x0000_s95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27214</xdr:colOff>
          <xdr:row>155</xdr:row>
          <xdr:rowOff>0</xdr:rowOff>
        </xdr:from>
        <xdr:to>
          <xdr:col>11</xdr:col>
          <xdr:colOff>0</xdr:colOff>
          <xdr:row>156</xdr:row>
          <xdr:rowOff>457200</xdr:rowOff>
        </xdr:to>
        <xdr:sp macro="" textlink="">
          <xdr:nvSpPr>
            <xdr:cNvPr id="9545" name="Group Box 329" hidden="1">
              <a:extLst>
                <a:ext uri="{63B3BB69-23CF-44E3-9099-C40C66FF867C}">
                  <a14:compatExt spid="_x0000_s9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27214</xdr:colOff>
          <xdr:row>159</xdr:row>
          <xdr:rowOff>10886</xdr:rowOff>
        </xdr:from>
        <xdr:to>
          <xdr:col>11</xdr:col>
          <xdr:colOff>0</xdr:colOff>
          <xdr:row>160</xdr:row>
          <xdr:rowOff>370114</xdr:rowOff>
        </xdr:to>
        <xdr:sp macro="" textlink="">
          <xdr:nvSpPr>
            <xdr:cNvPr id="9546" name="Group Box 330" hidden="1">
              <a:extLst>
                <a:ext uri="{63B3BB69-23CF-44E3-9099-C40C66FF867C}">
                  <a14:compatExt spid="_x0000_s9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114300</xdr:rowOff>
        </xdr:from>
        <xdr:to>
          <xdr:col>10</xdr:col>
          <xdr:colOff>201386</xdr:colOff>
          <xdr:row>165</xdr:row>
          <xdr:rowOff>87086</xdr:rowOff>
        </xdr:to>
        <xdr:sp macro="" textlink="">
          <xdr:nvSpPr>
            <xdr:cNvPr id="9548" name="Group Box 332" hidden="1">
              <a:extLst>
                <a:ext uri="{63B3BB69-23CF-44E3-9099-C40C66FF867C}">
                  <a14:compatExt spid="_x0000_s95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87086</xdr:rowOff>
        </xdr:from>
        <xdr:to>
          <xdr:col>10</xdr:col>
          <xdr:colOff>201386</xdr:colOff>
          <xdr:row>167</xdr:row>
          <xdr:rowOff>76200</xdr:rowOff>
        </xdr:to>
        <xdr:sp macro="" textlink="">
          <xdr:nvSpPr>
            <xdr:cNvPr id="9549" name="Group Box 333" hidden="1">
              <a:extLst>
                <a:ext uri="{63B3BB69-23CF-44E3-9099-C40C66FF867C}">
                  <a14:compatExt spid="_x0000_s95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167</xdr:row>
          <xdr:rowOff>76200</xdr:rowOff>
        </xdr:from>
        <xdr:to>
          <xdr:col>10</xdr:col>
          <xdr:colOff>201386</xdr:colOff>
          <xdr:row>168</xdr:row>
          <xdr:rowOff>332014</xdr:rowOff>
        </xdr:to>
        <xdr:sp macro="" textlink="">
          <xdr:nvSpPr>
            <xdr:cNvPr id="9550" name="Group Box 334" hidden="1">
              <a:extLst>
                <a:ext uri="{63B3BB69-23CF-44E3-9099-C40C66FF867C}">
                  <a14:compatExt spid="_x0000_s9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171</xdr:row>
          <xdr:rowOff>163286</xdr:rowOff>
        </xdr:from>
        <xdr:to>
          <xdr:col>7</xdr:col>
          <xdr:colOff>163286</xdr:colOff>
          <xdr:row>172</xdr:row>
          <xdr:rowOff>293914</xdr:rowOff>
        </xdr:to>
        <xdr:sp macro="" textlink="">
          <xdr:nvSpPr>
            <xdr:cNvPr id="9551" name="Option Button 335" hidden="1">
              <a:extLst>
                <a:ext uri="{63B3BB69-23CF-44E3-9099-C40C66FF867C}">
                  <a14:compatExt spid="_x0000_s9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171</xdr:row>
          <xdr:rowOff>163286</xdr:rowOff>
        </xdr:from>
        <xdr:to>
          <xdr:col>9</xdr:col>
          <xdr:colOff>76200</xdr:colOff>
          <xdr:row>172</xdr:row>
          <xdr:rowOff>293914</xdr:rowOff>
        </xdr:to>
        <xdr:sp macro="" textlink="">
          <xdr:nvSpPr>
            <xdr:cNvPr id="9552" name="Option Button 336" hidden="1">
              <a:extLst>
                <a:ext uri="{63B3BB69-23CF-44E3-9099-C40C66FF867C}">
                  <a14:compatExt spid="_x0000_s9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171</xdr:row>
          <xdr:rowOff>163286</xdr:rowOff>
        </xdr:from>
        <xdr:to>
          <xdr:col>10</xdr:col>
          <xdr:colOff>179614</xdr:colOff>
          <xdr:row>172</xdr:row>
          <xdr:rowOff>293914</xdr:rowOff>
        </xdr:to>
        <xdr:sp macro="" textlink="">
          <xdr:nvSpPr>
            <xdr:cNvPr id="9553" name="Option Button 337" hidden="1">
              <a:extLst>
                <a:ext uri="{63B3BB69-23CF-44E3-9099-C40C66FF867C}">
                  <a14:compatExt spid="_x0000_s9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27214</xdr:colOff>
          <xdr:row>171</xdr:row>
          <xdr:rowOff>0</xdr:rowOff>
        </xdr:from>
        <xdr:to>
          <xdr:col>10</xdr:col>
          <xdr:colOff>190500</xdr:colOff>
          <xdr:row>172</xdr:row>
          <xdr:rowOff>429986</xdr:rowOff>
        </xdr:to>
        <xdr:sp macro="" textlink="">
          <xdr:nvSpPr>
            <xdr:cNvPr id="9554" name="Group Box 338" hidden="1">
              <a:extLst>
                <a:ext uri="{63B3BB69-23CF-44E3-9099-C40C66FF867C}">
                  <a14:compatExt spid="_x0000_s95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181</xdr:row>
          <xdr:rowOff>190500</xdr:rowOff>
        </xdr:from>
        <xdr:to>
          <xdr:col>7</xdr:col>
          <xdr:colOff>163286</xdr:colOff>
          <xdr:row>182</xdr:row>
          <xdr:rowOff>266700</xdr:rowOff>
        </xdr:to>
        <xdr:sp macro="" textlink="">
          <xdr:nvSpPr>
            <xdr:cNvPr id="9559" name="Option Button 343" hidden="1">
              <a:extLst>
                <a:ext uri="{63B3BB69-23CF-44E3-9099-C40C66FF867C}">
                  <a14:compatExt spid="_x0000_s95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181</xdr:row>
          <xdr:rowOff>190500</xdr:rowOff>
        </xdr:from>
        <xdr:to>
          <xdr:col>9</xdr:col>
          <xdr:colOff>76200</xdr:colOff>
          <xdr:row>182</xdr:row>
          <xdr:rowOff>266700</xdr:rowOff>
        </xdr:to>
        <xdr:sp macro="" textlink="">
          <xdr:nvSpPr>
            <xdr:cNvPr id="9560" name="Option Button 344" hidden="1">
              <a:extLst>
                <a:ext uri="{63B3BB69-23CF-44E3-9099-C40C66FF867C}">
                  <a14:compatExt spid="_x0000_s95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185</xdr:row>
          <xdr:rowOff>190500</xdr:rowOff>
        </xdr:from>
        <xdr:to>
          <xdr:col>7</xdr:col>
          <xdr:colOff>163286</xdr:colOff>
          <xdr:row>186</xdr:row>
          <xdr:rowOff>293914</xdr:rowOff>
        </xdr:to>
        <xdr:sp macro="" textlink="">
          <xdr:nvSpPr>
            <xdr:cNvPr id="9561" name="Option Button 345" hidden="1">
              <a:extLst>
                <a:ext uri="{63B3BB69-23CF-44E3-9099-C40C66FF867C}">
                  <a14:compatExt spid="_x0000_s95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185</xdr:row>
          <xdr:rowOff>190500</xdr:rowOff>
        </xdr:from>
        <xdr:to>
          <xdr:col>9</xdr:col>
          <xdr:colOff>76200</xdr:colOff>
          <xdr:row>186</xdr:row>
          <xdr:rowOff>293914</xdr:rowOff>
        </xdr:to>
        <xdr:sp macro="" textlink="">
          <xdr:nvSpPr>
            <xdr:cNvPr id="9562" name="Option Button 346" hidden="1">
              <a:extLst>
                <a:ext uri="{63B3BB69-23CF-44E3-9099-C40C66FF867C}">
                  <a14:compatExt spid="_x0000_s9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189</xdr:row>
          <xdr:rowOff>190500</xdr:rowOff>
        </xdr:from>
        <xdr:to>
          <xdr:col>7</xdr:col>
          <xdr:colOff>163286</xdr:colOff>
          <xdr:row>190</xdr:row>
          <xdr:rowOff>293914</xdr:rowOff>
        </xdr:to>
        <xdr:sp macro="" textlink="">
          <xdr:nvSpPr>
            <xdr:cNvPr id="9563" name="Option Button 347" hidden="1">
              <a:extLst>
                <a:ext uri="{63B3BB69-23CF-44E3-9099-C40C66FF867C}">
                  <a14:compatExt spid="_x0000_s9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189</xdr:row>
          <xdr:rowOff>190500</xdr:rowOff>
        </xdr:from>
        <xdr:to>
          <xdr:col>9</xdr:col>
          <xdr:colOff>76200</xdr:colOff>
          <xdr:row>190</xdr:row>
          <xdr:rowOff>293914</xdr:rowOff>
        </xdr:to>
        <xdr:sp macro="" textlink="">
          <xdr:nvSpPr>
            <xdr:cNvPr id="9564" name="Option Button 348" hidden="1">
              <a:extLst>
                <a:ext uri="{63B3BB69-23CF-44E3-9099-C40C66FF867C}">
                  <a14:compatExt spid="_x0000_s9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193</xdr:row>
          <xdr:rowOff>190500</xdr:rowOff>
        </xdr:from>
        <xdr:to>
          <xdr:col>7</xdr:col>
          <xdr:colOff>163286</xdr:colOff>
          <xdr:row>194</xdr:row>
          <xdr:rowOff>293914</xdr:rowOff>
        </xdr:to>
        <xdr:sp macro="" textlink="">
          <xdr:nvSpPr>
            <xdr:cNvPr id="9565" name="Option Button 349" hidden="1">
              <a:extLst>
                <a:ext uri="{63B3BB69-23CF-44E3-9099-C40C66FF867C}">
                  <a14:compatExt spid="_x0000_s9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193</xdr:row>
          <xdr:rowOff>190500</xdr:rowOff>
        </xdr:from>
        <xdr:to>
          <xdr:col>9</xdr:col>
          <xdr:colOff>76200</xdr:colOff>
          <xdr:row>194</xdr:row>
          <xdr:rowOff>293914</xdr:rowOff>
        </xdr:to>
        <xdr:sp macro="" textlink="">
          <xdr:nvSpPr>
            <xdr:cNvPr id="9566" name="Option Button 350" hidden="1">
              <a:extLst>
                <a:ext uri="{63B3BB69-23CF-44E3-9099-C40C66FF867C}">
                  <a14:compatExt spid="_x0000_s95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197</xdr:row>
          <xdr:rowOff>38100</xdr:rowOff>
        </xdr:from>
        <xdr:to>
          <xdr:col>7</xdr:col>
          <xdr:colOff>163286</xdr:colOff>
          <xdr:row>199</xdr:row>
          <xdr:rowOff>38100</xdr:rowOff>
        </xdr:to>
        <xdr:sp macro="" textlink="">
          <xdr:nvSpPr>
            <xdr:cNvPr id="9567" name="Option Button 351" hidden="1">
              <a:extLst>
                <a:ext uri="{63B3BB69-23CF-44E3-9099-C40C66FF867C}">
                  <a14:compatExt spid="_x0000_s9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197</xdr:row>
          <xdr:rowOff>38100</xdr:rowOff>
        </xdr:from>
        <xdr:to>
          <xdr:col>9</xdr:col>
          <xdr:colOff>76200</xdr:colOff>
          <xdr:row>199</xdr:row>
          <xdr:rowOff>38100</xdr:rowOff>
        </xdr:to>
        <xdr:sp macro="" textlink="">
          <xdr:nvSpPr>
            <xdr:cNvPr id="9568" name="Option Button 352" hidden="1">
              <a:extLst>
                <a:ext uri="{63B3BB69-23CF-44E3-9099-C40C66FF867C}">
                  <a14:compatExt spid="_x0000_s9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201</xdr:row>
          <xdr:rowOff>190500</xdr:rowOff>
        </xdr:from>
        <xdr:to>
          <xdr:col>7</xdr:col>
          <xdr:colOff>163286</xdr:colOff>
          <xdr:row>202</xdr:row>
          <xdr:rowOff>293914</xdr:rowOff>
        </xdr:to>
        <xdr:sp macro="" textlink="">
          <xdr:nvSpPr>
            <xdr:cNvPr id="9569" name="Option Button 353" hidden="1">
              <a:extLst>
                <a:ext uri="{63B3BB69-23CF-44E3-9099-C40C66FF867C}">
                  <a14:compatExt spid="_x0000_s9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201</xdr:row>
          <xdr:rowOff>190500</xdr:rowOff>
        </xdr:from>
        <xdr:to>
          <xdr:col>9</xdr:col>
          <xdr:colOff>76200</xdr:colOff>
          <xdr:row>202</xdr:row>
          <xdr:rowOff>293914</xdr:rowOff>
        </xdr:to>
        <xdr:sp macro="" textlink="">
          <xdr:nvSpPr>
            <xdr:cNvPr id="9570" name="Option Button 354" hidden="1">
              <a:extLst>
                <a:ext uri="{63B3BB69-23CF-44E3-9099-C40C66FF867C}">
                  <a14:compatExt spid="_x0000_s9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206</xdr:row>
          <xdr:rowOff>0</xdr:rowOff>
        </xdr:from>
        <xdr:to>
          <xdr:col>7</xdr:col>
          <xdr:colOff>163286</xdr:colOff>
          <xdr:row>206</xdr:row>
          <xdr:rowOff>293914</xdr:rowOff>
        </xdr:to>
        <xdr:sp macro="" textlink="">
          <xdr:nvSpPr>
            <xdr:cNvPr id="9572" name="Option Button 356" hidden="1">
              <a:extLst>
                <a:ext uri="{63B3BB69-23CF-44E3-9099-C40C66FF867C}">
                  <a14:compatExt spid="_x0000_s9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181</xdr:row>
          <xdr:rowOff>38100</xdr:rowOff>
        </xdr:from>
        <xdr:to>
          <xdr:col>9</xdr:col>
          <xdr:colOff>201386</xdr:colOff>
          <xdr:row>182</xdr:row>
          <xdr:rowOff>353786</xdr:rowOff>
        </xdr:to>
        <xdr:sp macro="" textlink="">
          <xdr:nvSpPr>
            <xdr:cNvPr id="9573" name="Group Box 357" hidden="1">
              <a:extLst>
                <a:ext uri="{63B3BB69-23CF-44E3-9099-C40C66FF867C}">
                  <a14:compatExt spid="_x0000_s95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185</xdr:row>
          <xdr:rowOff>10886</xdr:rowOff>
        </xdr:from>
        <xdr:to>
          <xdr:col>9</xdr:col>
          <xdr:colOff>190500</xdr:colOff>
          <xdr:row>186</xdr:row>
          <xdr:rowOff>419100</xdr:rowOff>
        </xdr:to>
        <xdr:sp macro="" textlink="">
          <xdr:nvSpPr>
            <xdr:cNvPr id="9574" name="Group Box 358" hidden="1">
              <a:extLst>
                <a:ext uri="{63B3BB69-23CF-44E3-9099-C40C66FF867C}">
                  <a14:compatExt spid="_x0000_s9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189</xdr:row>
          <xdr:rowOff>0</xdr:rowOff>
        </xdr:from>
        <xdr:to>
          <xdr:col>9</xdr:col>
          <xdr:colOff>201386</xdr:colOff>
          <xdr:row>190</xdr:row>
          <xdr:rowOff>381000</xdr:rowOff>
        </xdr:to>
        <xdr:sp macro="" textlink="">
          <xdr:nvSpPr>
            <xdr:cNvPr id="9575" name="Group Box 359" hidden="1">
              <a:extLst>
                <a:ext uri="{63B3BB69-23CF-44E3-9099-C40C66FF867C}">
                  <a14:compatExt spid="_x0000_s95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193</xdr:row>
          <xdr:rowOff>0</xdr:rowOff>
        </xdr:from>
        <xdr:to>
          <xdr:col>10</xdr:col>
          <xdr:colOff>0</xdr:colOff>
          <xdr:row>194</xdr:row>
          <xdr:rowOff>353786</xdr:rowOff>
        </xdr:to>
        <xdr:sp macro="" textlink="">
          <xdr:nvSpPr>
            <xdr:cNvPr id="9576" name="Group Box 360" hidden="1">
              <a:extLst>
                <a:ext uri="{63B3BB69-23CF-44E3-9099-C40C66FF867C}">
                  <a14:compatExt spid="_x0000_s95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196</xdr:row>
          <xdr:rowOff>598714</xdr:rowOff>
        </xdr:from>
        <xdr:to>
          <xdr:col>10</xdr:col>
          <xdr:colOff>10886</xdr:colOff>
          <xdr:row>200</xdr:row>
          <xdr:rowOff>10886</xdr:rowOff>
        </xdr:to>
        <xdr:sp macro="" textlink="">
          <xdr:nvSpPr>
            <xdr:cNvPr id="9577" name="Group Box 361" hidden="1">
              <a:extLst>
                <a:ext uri="{63B3BB69-23CF-44E3-9099-C40C66FF867C}">
                  <a14:compatExt spid="_x0000_s95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201</xdr:row>
          <xdr:rowOff>0</xdr:rowOff>
        </xdr:from>
        <xdr:to>
          <xdr:col>10</xdr:col>
          <xdr:colOff>27214</xdr:colOff>
          <xdr:row>202</xdr:row>
          <xdr:rowOff>353786</xdr:rowOff>
        </xdr:to>
        <xdr:sp macro="" textlink="">
          <xdr:nvSpPr>
            <xdr:cNvPr id="9578" name="Group Box 362" hidden="1">
              <a:extLst>
                <a:ext uri="{63B3BB69-23CF-44E3-9099-C40C66FF867C}">
                  <a14:compatExt spid="_x0000_s95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685800</xdr:colOff>
          <xdr:row>205</xdr:row>
          <xdr:rowOff>0</xdr:rowOff>
        </xdr:from>
        <xdr:to>
          <xdr:col>10</xdr:col>
          <xdr:colOff>27214</xdr:colOff>
          <xdr:row>206</xdr:row>
          <xdr:rowOff>370114</xdr:rowOff>
        </xdr:to>
        <xdr:sp macro="" textlink="">
          <xdr:nvSpPr>
            <xdr:cNvPr id="9579" name="Group Box 363" hidden="1">
              <a:extLst>
                <a:ext uri="{63B3BB69-23CF-44E3-9099-C40C66FF867C}">
                  <a14:compatExt spid="_x0000_s95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224</xdr:row>
          <xdr:rowOff>87086</xdr:rowOff>
        </xdr:from>
        <xdr:to>
          <xdr:col>7</xdr:col>
          <xdr:colOff>163286</xdr:colOff>
          <xdr:row>226</xdr:row>
          <xdr:rowOff>10886</xdr:rowOff>
        </xdr:to>
        <xdr:sp macro="" textlink="">
          <xdr:nvSpPr>
            <xdr:cNvPr id="9581" name="Option Button 365" hidden="1">
              <a:extLst>
                <a:ext uri="{63B3BB69-23CF-44E3-9099-C40C66FF867C}">
                  <a14:compatExt spid="_x0000_s9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224</xdr:row>
          <xdr:rowOff>87086</xdr:rowOff>
        </xdr:from>
        <xdr:to>
          <xdr:col>9</xdr:col>
          <xdr:colOff>76200</xdr:colOff>
          <xdr:row>226</xdr:row>
          <xdr:rowOff>10886</xdr:rowOff>
        </xdr:to>
        <xdr:sp macro="" textlink="">
          <xdr:nvSpPr>
            <xdr:cNvPr id="9582" name="Option Button 366" hidden="1">
              <a:extLst>
                <a:ext uri="{63B3BB69-23CF-44E3-9099-C40C66FF867C}">
                  <a14:compatExt spid="_x0000_s9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228</xdr:row>
          <xdr:rowOff>190500</xdr:rowOff>
        </xdr:from>
        <xdr:to>
          <xdr:col>7</xdr:col>
          <xdr:colOff>163286</xdr:colOff>
          <xdr:row>229</xdr:row>
          <xdr:rowOff>293914</xdr:rowOff>
        </xdr:to>
        <xdr:sp macro="" textlink="">
          <xdr:nvSpPr>
            <xdr:cNvPr id="9583" name="Option Button 367" hidden="1">
              <a:extLst>
                <a:ext uri="{63B3BB69-23CF-44E3-9099-C40C66FF867C}">
                  <a14:compatExt spid="_x0000_s9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228</xdr:row>
          <xdr:rowOff>190500</xdr:rowOff>
        </xdr:from>
        <xdr:to>
          <xdr:col>9</xdr:col>
          <xdr:colOff>76200</xdr:colOff>
          <xdr:row>229</xdr:row>
          <xdr:rowOff>293914</xdr:rowOff>
        </xdr:to>
        <xdr:sp macro="" textlink="">
          <xdr:nvSpPr>
            <xdr:cNvPr id="9584" name="Option Button 368" hidden="1">
              <a:extLst>
                <a:ext uri="{63B3BB69-23CF-44E3-9099-C40C66FF867C}">
                  <a14:compatExt spid="_x0000_s9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232</xdr:row>
          <xdr:rowOff>125186</xdr:rowOff>
        </xdr:from>
        <xdr:to>
          <xdr:col>7</xdr:col>
          <xdr:colOff>163286</xdr:colOff>
          <xdr:row>234</xdr:row>
          <xdr:rowOff>48986</xdr:rowOff>
        </xdr:to>
        <xdr:sp macro="" textlink="">
          <xdr:nvSpPr>
            <xdr:cNvPr id="9585" name="Option Button 369" hidden="1">
              <a:extLst>
                <a:ext uri="{63B3BB69-23CF-44E3-9099-C40C66FF867C}">
                  <a14:compatExt spid="_x0000_s9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232</xdr:row>
          <xdr:rowOff>125186</xdr:rowOff>
        </xdr:from>
        <xdr:to>
          <xdr:col>9</xdr:col>
          <xdr:colOff>76200</xdr:colOff>
          <xdr:row>234</xdr:row>
          <xdr:rowOff>48986</xdr:rowOff>
        </xdr:to>
        <xdr:sp macro="" textlink="">
          <xdr:nvSpPr>
            <xdr:cNvPr id="9586" name="Option Button 370" hidden="1">
              <a:extLst>
                <a:ext uri="{63B3BB69-23CF-44E3-9099-C40C66FF867C}">
                  <a14:compatExt spid="_x0000_s9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224</xdr:row>
          <xdr:rowOff>0</xdr:rowOff>
        </xdr:from>
        <xdr:to>
          <xdr:col>10</xdr:col>
          <xdr:colOff>190500</xdr:colOff>
          <xdr:row>226</xdr:row>
          <xdr:rowOff>65314</xdr:rowOff>
        </xdr:to>
        <xdr:sp macro="" textlink="">
          <xdr:nvSpPr>
            <xdr:cNvPr id="9587" name="Group Box 371" hidden="1">
              <a:extLst>
                <a:ext uri="{63B3BB69-23CF-44E3-9099-C40C66FF867C}">
                  <a14:compatExt spid="_x0000_s95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228</xdr:row>
          <xdr:rowOff>0</xdr:rowOff>
        </xdr:from>
        <xdr:to>
          <xdr:col>10</xdr:col>
          <xdr:colOff>201386</xdr:colOff>
          <xdr:row>229</xdr:row>
          <xdr:rowOff>332014</xdr:rowOff>
        </xdr:to>
        <xdr:sp macro="" textlink="">
          <xdr:nvSpPr>
            <xdr:cNvPr id="9588" name="Group Box 372" hidden="1">
              <a:extLst>
                <a:ext uri="{63B3BB69-23CF-44E3-9099-C40C66FF867C}">
                  <a14:compatExt spid="_x0000_s95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250</xdr:row>
          <xdr:rowOff>125186</xdr:rowOff>
        </xdr:from>
        <xdr:to>
          <xdr:col>7</xdr:col>
          <xdr:colOff>163286</xdr:colOff>
          <xdr:row>252</xdr:row>
          <xdr:rowOff>48986</xdr:rowOff>
        </xdr:to>
        <xdr:sp macro="" textlink="">
          <xdr:nvSpPr>
            <xdr:cNvPr id="9590" name="Option Button 374" hidden="1">
              <a:extLst>
                <a:ext uri="{63B3BB69-23CF-44E3-9099-C40C66FF867C}">
                  <a14:compatExt spid="_x0000_s9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250</xdr:row>
          <xdr:rowOff>125186</xdr:rowOff>
        </xdr:from>
        <xdr:to>
          <xdr:col>9</xdr:col>
          <xdr:colOff>76200</xdr:colOff>
          <xdr:row>252</xdr:row>
          <xdr:rowOff>48986</xdr:rowOff>
        </xdr:to>
        <xdr:sp macro="" textlink="">
          <xdr:nvSpPr>
            <xdr:cNvPr id="9591" name="Option Button 375" hidden="1">
              <a:extLst>
                <a:ext uri="{63B3BB69-23CF-44E3-9099-C40C66FF867C}">
                  <a14:compatExt spid="_x0000_s9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250</xdr:row>
          <xdr:rowOff>27214</xdr:rowOff>
        </xdr:from>
        <xdr:to>
          <xdr:col>10</xdr:col>
          <xdr:colOff>201386</xdr:colOff>
          <xdr:row>253</xdr:row>
          <xdr:rowOff>0</xdr:rowOff>
        </xdr:to>
        <xdr:sp macro="" textlink="">
          <xdr:nvSpPr>
            <xdr:cNvPr id="9592" name="Group Box 376" hidden="1">
              <a:extLst>
                <a:ext uri="{63B3BB69-23CF-44E3-9099-C40C66FF867C}">
                  <a14:compatExt spid="_x0000_s95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141514</xdr:colOff>
          <xdr:row>91</xdr:row>
          <xdr:rowOff>38100</xdr:rowOff>
        </xdr:from>
        <xdr:to>
          <xdr:col>11</xdr:col>
          <xdr:colOff>103414</xdr:colOff>
          <xdr:row>92</xdr:row>
          <xdr:rowOff>255814</xdr:rowOff>
        </xdr:to>
        <xdr:sp macro="" textlink="">
          <xdr:nvSpPr>
            <xdr:cNvPr id="9597" name="Check Box 381" hidden="1">
              <a:extLst>
                <a:ext uri="{63B3BB69-23CF-44E3-9099-C40C66FF867C}">
                  <a14:compatExt spid="_x0000_s9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INFLATABLES, ETC.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298</xdr:row>
          <xdr:rowOff>114300</xdr:rowOff>
        </xdr:from>
        <xdr:to>
          <xdr:col>7</xdr:col>
          <xdr:colOff>163286</xdr:colOff>
          <xdr:row>300</xdr:row>
          <xdr:rowOff>38100</xdr:rowOff>
        </xdr:to>
        <xdr:sp macro="" textlink="">
          <xdr:nvSpPr>
            <xdr:cNvPr id="9607" name="Option Button 391" hidden="1">
              <a:extLst>
                <a:ext uri="{63B3BB69-23CF-44E3-9099-C40C66FF867C}">
                  <a14:compatExt spid="_x0000_s9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298</xdr:row>
          <xdr:rowOff>114300</xdr:rowOff>
        </xdr:from>
        <xdr:to>
          <xdr:col>9</xdr:col>
          <xdr:colOff>76200</xdr:colOff>
          <xdr:row>300</xdr:row>
          <xdr:rowOff>38100</xdr:rowOff>
        </xdr:to>
        <xdr:sp macro="" textlink="">
          <xdr:nvSpPr>
            <xdr:cNvPr id="9608" name="Option Button 392" hidden="1">
              <a:extLst>
                <a:ext uri="{63B3BB69-23CF-44E3-9099-C40C66FF867C}">
                  <a14:compatExt spid="_x0000_s9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300</xdr:row>
          <xdr:rowOff>114300</xdr:rowOff>
        </xdr:from>
        <xdr:to>
          <xdr:col>7</xdr:col>
          <xdr:colOff>163286</xdr:colOff>
          <xdr:row>302</xdr:row>
          <xdr:rowOff>48986</xdr:rowOff>
        </xdr:to>
        <xdr:sp macro="" textlink="">
          <xdr:nvSpPr>
            <xdr:cNvPr id="9609" name="Option Button 393" hidden="1">
              <a:extLst>
                <a:ext uri="{63B3BB69-23CF-44E3-9099-C40C66FF867C}">
                  <a14:compatExt spid="_x0000_s9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300</xdr:row>
          <xdr:rowOff>114300</xdr:rowOff>
        </xdr:from>
        <xdr:to>
          <xdr:col>9</xdr:col>
          <xdr:colOff>76200</xdr:colOff>
          <xdr:row>302</xdr:row>
          <xdr:rowOff>48986</xdr:rowOff>
        </xdr:to>
        <xdr:sp macro="" textlink="">
          <xdr:nvSpPr>
            <xdr:cNvPr id="9610" name="Option Button 394" hidden="1">
              <a:extLst>
                <a:ext uri="{63B3BB69-23CF-44E3-9099-C40C66FF867C}">
                  <a14:compatExt spid="_x0000_s9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302</xdr:row>
          <xdr:rowOff>114300</xdr:rowOff>
        </xdr:from>
        <xdr:to>
          <xdr:col>7</xdr:col>
          <xdr:colOff>163286</xdr:colOff>
          <xdr:row>304</xdr:row>
          <xdr:rowOff>48986</xdr:rowOff>
        </xdr:to>
        <xdr:sp macro="" textlink="">
          <xdr:nvSpPr>
            <xdr:cNvPr id="9611" name="Option Button 395" hidden="1">
              <a:extLst>
                <a:ext uri="{63B3BB69-23CF-44E3-9099-C40C66FF867C}">
                  <a14:compatExt spid="_x0000_s9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302</xdr:row>
          <xdr:rowOff>114300</xdr:rowOff>
        </xdr:from>
        <xdr:to>
          <xdr:col>9</xdr:col>
          <xdr:colOff>76200</xdr:colOff>
          <xdr:row>304</xdr:row>
          <xdr:rowOff>48986</xdr:rowOff>
        </xdr:to>
        <xdr:sp macro="" textlink="">
          <xdr:nvSpPr>
            <xdr:cNvPr id="9612" name="Option Button 396" hidden="1">
              <a:extLst>
                <a:ext uri="{63B3BB69-23CF-44E3-9099-C40C66FF867C}">
                  <a14:compatExt spid="_x0000_s96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179614</xdr:colOff>
          <xdr:row>316</xdr:row>
          <xdr:rowOff>114300</xdr:rowOff>
        </xdr:from>
        <xdr:to>
          <xdr:col>7</xdr:col>
          <xdr:colOff>152400</xdr:colOff>
          <xdr:row>318</xdr:row>
          <xdr:rowOff>38100</xdr:rowOff>
        </xdr:to>
        <xdr:sp macro="" textlink="">
          <xdr:nvSpPr>
            <xdr:cNvPr id="9620" name="Option Button 404" hidden="1">
              <a:extLst>
                <a:ext uri="{63B3BB69-23CF-44E3-9099-C40C66FF867C}">
                  <a14:compatExt spid="_x0000_s96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316</xdr:row>
          <xdr:rowOff>114300</xdr:rowOff>
        </xdr:from>
        <xdr:to>
          <xdr:col>9</xdr:col>
          <xdr:colOff>48986</xdr:colOff>
          <xdr:row>318</xdr:row>
          <xdr:rowOff>38100</xdr:rowOff>
        </xdr:to>
        <xdr:sp macro="" textlink="">
          <xdr:nvSpPr>
            <xdr:cNvPr id="9621" name="Option Button 405" hidden="1">
              <a:extLst>
                <a:ext uri="{63B3BB69-23CF-44E3-9099-C40C66FF867C}">
                  <a14:compatExt spid="_x0000_s96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179614</xdr:colOff>
          <xdr:row>318</xdr:row>
          <xdr:rowOff>87086</xdr:rowOff>
        </xdr:from>
        <xdr:to>
          <xdr:col>7</xdr:col>
          <xdr:colOff>152400</xdr:colOff>
          <xdr:row>320</xdr:row>
          <xdr:rowOff>48986</xdr:rowOff>
        </xdr:to>
        <xdr:sp macro="" textlink="">
          <xdr:nvSpPr>
            <xdr:cNvPr id="9622" name="Option Button 406" hidden="1">
              <a:extLst>
                <a:ext uri="{63B3BB69-23CF-44E3-9099-C40C66FF867C}">
                  <a14:compatExt spid="_x0000_s9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318</xdr:row>
          <xdr:rowOff>87086</xdr:rowOff>
        </xdr:from>
        <xdr:to>
          <xdr:col>9</xdr:col>
          <xdr:colOff>48986</xdr:colOff>
          <xdr:row>320</xdr:row>
          <xdr:rowOff>48986</xdr:rowOff>
        </xdr:to>
        <xdr:sp macro="" textlink="">
          <xdr:nvSpPr>
            <xdr:cNvPr id="9623" name="Option Button 407" hidden="1">
              <a:extLst>
                <a:ext uri="{63B3BB69-23CF-44E3-9099-C40C66FF867C}">
                  <a14:compatExt spid="_x0000_s9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316</xdr:row>
          <xdr:rowOff>27214</xdr:rowOff>
        </xdr:from>
        <xdr:to>
          <xdr:col>10</xdr:col>
          <xdr:colOff>190500</xdr:colOff>
          <xdr:row>318</xdr:row>
          <xdr:rowOff>48986</xdr:rowOff>
        </xdr:to>
        <xdr:sp macro="" textlink="">
          <xdr:nvSpPr>
            <xdr:cNvPr id="9627" name="Group Box 411" hidden="1">
              <a:extLst>
                <a:ext uri="{63B3BB69-23CF-44E3-9099-C40C66FF867C}">
                  <a14:compatExt spid="_x0000_s9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318</xdr:row>
          <xdr:rowOff>48986</xdr:rowOff>
        </xdr:from>
        <xdr:to>
          <xdr:col>10</xdr:col>
          <xdr:colOff>190500</xdr:colOff>
          <xdr:row>320</xdr:row>
          <xdr:rowOff>65314</xdr:rowOff>
        </xdr:to>
        <xdr:sp macro="" textlink="">
          <xdr:nvSpPr>
            <xdr:cNvPr id="9628" name="Group Box 412" hidden="1">
              <a:extLst>
                <a:ext uri="{63B3BB69-23CF-44E3-9099-C40C66FF867C}">
                  <a14:compatExt spid="_x0000_s96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463</xdr:row>
          <xdr:rowOff>141514</xdr:rowOff>
        </xdr:from>
        <xdr:to>
          <xdr:col>7</xdr:col>
          <xdr:colOff>76200</xdr:colOff>
          <xdr:row>464</xdr:row>
          <xdr:rowOff>239486</xdr:rowOff>
        </xdr:to>
        <xdr:sp macro="" textlink="">
          <xdr:nvSpPr>
            <xdr:cNvPr id="9634" name="Option Button 418" hidden="1">
              <a:extLst>
                <a:ext uri="{63B3BB69-23CF-44E3-9099-C40C66FF867C}">
                  <a14:compatExt spid="_x0000_s9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463</xdr:row>
          <xdr:rowOff>141514</xdr:rowOff>
        </xdr:from>
        <xdr:to>
          <xdr:col>9</xdr:col>
          <xdr:colOff>10886</xdr:colOff>
          <xdr:row>464</xdr:row>
          <xdr:rowOff>239486</xdr:rowOff>
        </xdr:to>
        <xdr:sp macro="" textlink="">
          <xdr:nvSpPr>
            <xdr:cNvPr id="9635" name="Option Button 419" hidden="1">
              <a:extLst>
                <a:ext uri="{63B3BB69-23CF-44E3-9099-C40C66FF867C}">
                  <a14:compatExt spid="_x0000_s9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463</xdr:row>
          <xdr:rowOff>141514</xdr:rowOff>
        </xdr:from>
        <xdr:to>
          <xdr:col>10</xdr:col>
          <xdr:colOff>179614</xdr:colOff>
          <xdr:row>464</xdr:row>
          <xdr:rowOff>239486</xdr:rowOff>
        </xdr:to>
        <xdr:sp macro="" textlink="">
          <xdr:nvSpPr>
            <xdr:cNvPr id="9636" name="Option Button 420" hidden="1">
              <a:extLst>
                <a:ext uri="{63B3BB69-23CF-44E3-9099-C40C66FF867C}">
                  <a14:compatExt spid="_x0000_s9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468</xdr:row>
          <xdr:rowOff>0</xdr:rowOff>
        </xdr:from>
        <xdr:to>
          <xdr:col>7</xdr:col>
          <xdr:colOff>76200</xdr:colOff>
          <xdr:row>468</xdr:row>
          <xdr:rowOff>293914</xdr:rowOff>
        </xdr:to>
        <xdr:sp macro="" textlink="">
          <xdr:nvSpPr>
            <xdr:cNvPr id="9638" name="Option Button 422" hidden="1">
              <a:extLst>
                <a:ext uri="{63B3BB69-23CF-44E3-9099-C40C66FF867C}">
                  <a14:compatExt spid="_x0000_s9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468</xdr:row>
          <xdr:rowOff>0</xdr:rowOff>
        </xdr:from>
        <xdr:to>
          <xdr:col>9</xdr:col>
          <xdr:colOff>10886</xdr:colOff>
          <xdr:row>468</xdr:row>
          <xdr:rowOff>293914</xdr:rowOff>
        </xdr:to>
        <xdr:sp macro="" textlink="">
          <xdr:nvSpPr>
            <xdr:cNvPr id="9639" name="Option Button 423" hidden="1">
              <a:extLst>
                <a:ext uri="{63B3BB69-23CF-44E3-9099-C40C66FF867C}">
                  <a14:compatExt spid="_x0000_s9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468</xdr:row>
          <xdr:rowOff>0</xdr:rowOff>
        </xdr:from>
        <xdr:to>
          <xdr:col>10</xdr:col>
          <xdr:colOff>179614</xdr:colOff>
          <xdr:row>468</xdr:row>
          <xdr:rowOff>293914</xdr:rowOff>
        </xdr:to>
        <xdr:sp macro="" textlink="">
          <xdr:nvSpPr>
            <xdr:cNvPr id="9640" name="Option Button 424" hidden="1">
              <a:extLst>
                <a:ext uri="{63B3BB69-23CF-44E3-9099-C40C66FF867C}">
                  <a14:compatExt spid="_x0000_s9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465</xdr:row>
          <xdr:rowOff>141514</xdr:rowOff>
        </xdr:from>
        <xdr:to>
          <xdr:col>7</xdr:col>
          <xdr:colOff>76200</xdr:colOff>
          <xdr:row>466</xdr:row>
          <xdr:rowOff>277586</xdr:rowOff>
        </xdr:to>
        <xdr:sp macro="" textlink="">
          <xdr:nvSpPr>
            <xdr:cNvPr id="9642" name="Option Button 426" hidden="1">
              <a:extLst>
                <a:ext uri="{63B3BB69-23CF-44E3-9099-C40C66FF867C}">
                  <a14:compatExt spid="_x0000_s9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465</xdr:row>
          <xdr:rowOff>141514</xdr:rowOff>
        </xdr:from>
        <xdr:to>
          <xdr:col>9</xdr:col>
          <xdr:colOff>10886</xdr:colOff>
          <xdr:row>466</xdr:row>
          <xdr:rowOff>277586</xdr:rowOff>
        </xdr:to>
        <xdr:sp macro="" textlink="">
          <xdr:nvSpPr>
            <xdr:cNvPr id="9643" name="Option Button 427" hidden="1">
              <a:extLst>
                <a:ext uri="{63B3BB69-23CF-44E3-9099-C40C66FF867C}">
                  <a14:compatExt spid="_x0000_s9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465</xdr:row>
          <xdr:rowOff>141514</xdr:rowOff>
        </xdr:from>
        <xdr:to>
          <xdr:col>10</xdr:col>
          <xdr:colOff>179614</xdr:colOff>
          <xdr:row>466</xdr:row>
          <xdr:rowOff>277586</xdr:rowOff>
        </xdr:to>
        <xdr:sp macro="" textlink="">
          <xdr:nvSpPr>
            <xdr:cNvPr id="9644" name="Option Button 428" hidden="1">
              <a:extLst>
                <a:ext uri="{63B3BB69-23CF-44E3-9099-C40C66FF867C}">
                  <a14:compatExt spid="_x0000_s9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469</xdr:row>
          <xdr:rowOff>141514</xdr:rowOff>
        </xdr:from>
        <xdr:to>
          <xdr:col>7</xdr:col>
          <xdr:colOff>76200</xdr:colOff>
          <xdr:row>470</xdr:row>
          <xdr:rowOff>277586</xdr:rowOff>
        </xdr:to>
        <xdr:sp macro="" textlink="">
          <xdr:nvSpPr>
            <xdr:cNvPr id="9646" name="Option Button 430" hidden="1">
              <a:extLst>
                <a:ext uri="{63B3BB69-23CF-44E3-9099-C40C66FF867C}">
                  <a14:compatExt spid="_x0000_s9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469</xdr:row>
          <xdr:rowOff>141514</xdr:rowOff>
        </xdr:from>
        <xdr:to>
          <xdr:col>9</xdr:col>
          <xdr:colOff>10886</xdr:colOff>
          <xdr:row>470</xdr:row>
          <xdr:rowOff>277586</xdr:rowOff>
        </xdr:to>
        <xdr:sp macro="" textlink="">
          <xdr:nvSpPr>
            <xdr:cNvPr id="9647" name="Option Button 431" hidden="1">
              <a:extLst>
                <a:ext uri="{63B3BB69-23CF-44E3-9099-C40C66FF867C}">
                  <a14:compatExt spid="_x0000_s96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469</xdr:row>
          <xdr:rowOff>141514</xdr:rowOff>
        </xdr:from>
        <xdr:to>
          <xdr:col>10</xdr:col>
          <xdr:colOff>179614</xdr:colOff>
          <xdr:row>470</xdr:row>
          <xdr:rowOff>277586</xdr:rowOff>
        </xdr:to>
        <xdr:sp macro="" textlink="">
          <xdr:nvSpPr>
            <xdr:cNvPr id="9648" name="Option Button 432" hidden="1">
              <a:extLst>
                <a:ext uri="{63B3BB69-23CF-44E3-9099-C40C66FF867C}">
                  <a14:compatExt spid="_x0000_s9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463</xdr:row>
          <xdr:rowOff>38100</xdr:rowOff>
        </xdr:from>
        <xdr:to>
          <xdr:col>11</xdr:col>
          <xdr:colOff>76200</xdr:colOff>
          <xdr:row>464</xdr:row>
          <xdr:rowOff>370114</xdr:rowOff>
        </xdr:to>
        <xdr:sp macro="" textlink="">
          <xdr:nvSpPr>
            <xdr:cNvPr id="9650" name="Group Box 434" hidden="1">
              <a:extLst>
                <a:ext uri="{63B3BB69-23CF-44E3-9099-C40C66FF867C}">
                  <a14:compatExt spid="_x0000_s96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598714</xdr:colOff>
          <xdr:row>465</xdr:row>
          <xdr:rowOff>10886</xdr:rowOff>
        </xdr:from>
        <xdr:to>
          <xdr:col>11</xdr:col>
          <xdr:colOff>65314</xdr:colOff>
          <xdr:row>466</xdr:row>
          <xdr:rowOff>429986</xdr:rowOff>
        </xdr:to>
        <xdr:sp macro="" textlink="">
          <xdr:nvSpPr>
            <xdr:cNvPr id="9651" name="Group Box 435" hidden="1">
              <a:extLst>
                <a:ext uri="{63B3BB69-23CF-44E3-9099-C40C66FF867C}">
                  <a14:compatExt spid="_x0000_s9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582386</xdr:colOff>
          <xdr:row>468</xdr:row>
          <xdr:rowOff>0</xdr:rowOff>
        </xdr:from>
        <xdr:to>
          <xdr:col>11</xdr:col>
          <xdr:colOff>103414</xdr:colOff>
          <xdr:row>468</xdr:row>
          <xdr:rowOff>408214</xdr:rowOff>
        </xdr:to>
        <xdr:sp macro="" textlink="">
          <xdr:nvSpPr>
            <xdr:cNvPr id="9652" name="Group Box 436" hidden="1">
              <a:extLst>
                <a:ext uri="{63B3BB69-23CF-44E3-9099-C40C66FF867C}">
                  <a14:compatExt spid="_x0000_s96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582386</xdr:colOff>
          <xdr:row>469</xdr:row>
          <xdr:rowOff>0</xdr:rowOff>
        </xdr:from>
        <xdr:to>
          <xdr:col>11</xdr:col>
          <xdr:colOff>103414</xdr:colOff>
          <xdr:row>470</xdr:row>
          <xdr:rowOff>391886</xdr:rowOff>
        </xdr:to>
        <xdr:sp macro="" textlink="">
          <xdr:nvSpPr>
            <xdr:cNvPr id="9653" name="Group Box 437" hidden="1">
              <a:extLst>
                <a:ext uri="{63B3BB69-23CF-44E3-9099-C40C66FF867C}">
                  <a14:compatExt spid="_x0000_s9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479</xdr:row>
          <xdr:rowOff>103414</xdr:rowOff>
        </xdr:from>
        <xdr:to>
          <xdr:col>7</xdr:col>
          <xdr:colOff>76200</xdr:colOff>
          <xdr:row>481</xdr:row>
          <xdr:rowOff>0</xdr:rowOff>
        </xdr:to>
        <xdr:sp macro="" textlink="">
          <xdr:nvSpPr>
            <xdr:cNvPr id="9655" name="Option Button 439" hidden="1">
              <a:extLst>
                <a:ext uri="{63B3BB69-23CF-44E3-9099-C40C66FF867C}">
                  <a14:compatExt spid="_x0000_s96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479</xdr:row>
          <xdr:rowOff>103414</xdr:rowOff>
        </xdr:from>
        <xdr:to>
          <xdr:col>9</xdr:col>
          <xdr:colOff>10886</xdr:colOff>
          <xdr:row>481</xdr:row>
          <xdr:rowOff>0</xdr:rowOff>
        </xdr:to>
        <xdr:sp macro="" textlink="">
          <xdr:nvSpPr>
            <xdr:cNvPr id="9656" name="Option Button 440" hidden="1">
              <a:extLst>
                <a:ext uri="{63B3BB69-23CF-44E3-9099-C40C66FF867C}">
                  <a14:compatExt spid="_x0000_s96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479</xdr:row>
          <xdr:rowOff>103414</xdr:rowOff>
        </xdr:from>
        <xdr:to>
          <xdr:col>10</xdr:col>
          <xdr:colOff>179614</xdr:colOff>
          <xdr:row>481</xdr:row>
          <xdr:rowOff>0</xdr:rowOff>
        </xdr:to>
        <xdr:sp macro="" textlink="">
          <xdr:nvSpPr>
            <xdr:cNvPr id="9657" name="Option Button 441" hidden="1">
              <a:extLst>
                <a:ext uri="{63B3BB69-23CF-44E3-9099-C40C66FF867C}">
                  <a14:compatExt spid="_x0000_s96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481</xdr:row>
          <xdr:rowOff>141514</xdr:rowOff>
        </xdr:from>
        <xdr:to>
          <xdr:col>7</xdr:col>
          <xdr:colOff>76200</xdr:colOff>
          <xdr:row>482</xdr:row>
          <xdr:rowOff>293914</xdr:rowOff>
        </xdr:to>
        <xdr:sp macro="" textlink="">
          <xdr:nvSpPr>
            <xdr:cNvPr id="9659" name="Option Button 443" hidden="1">
              <a:extLst>
                <a:ext uri="{63B3BB69-23CF-44E3-9099-C40C66FF867C}">
                  <a14:compatExt spid="_x0000_s96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481</xdr:row>
          <xdr:rowOff>141514</xdr:rowOff>
        </xdr:from>
        <xdr:to>
          <xdr:col>9</xdr:col>
          <xdr:colOff>10886</xdr:colOff>
          <xdr:row>482</xdr:row>
          <xdr:rowOff>293914</xdr:rowOff>
        </xdr:to>
        <xdr:sp macro="" textlink="">
          <xdr:nvSpPr>
            <xdr:cNvPr id="9660" name="Option Button 444" hidden="1">
              <a:extLst>
                <a:ext uri="{63B3BB69-23CF-44E3-9099-C40C66FF867C}">
                  <a14:compatExt spid="_x0000_s96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481</xdr:row>
          <xdr:rowOff>141514</xdr:rowOff>
        </xdr:from>
        <xdr:to>
          <xdr:col>10</xdr:col>
          <xdr:colOff>179614</xdr:colOff>
          <xdr:row>482</xdr:row>
          <xdr:rowOff>293914</xdr:rowOff>
        </xdr:to>
        <xdr:sp macro="" textlink="">
          <xdr:nvSpPr>
            <xdr:cNvPr id="9661" name="Option Button 445" hidden="1">
              <a:extLst>
                <a:ext uri="{63B3BB69-23CF-44E3-9099-C40C66FF867C}">
                  <a14:compatExt spid="_x0000_s96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483</xdr:row>
          <xdr:rowOff>141514</xdr:rowOff>
        </xdr:from>
        <xdr:to>
          <xdr:col>7</xdr:col>
          <xdr:colOff>76200</xdr:colOff>
          <xdr:row>484</xdr:row>
          <xdr:rowOff>293914</xdr:rowOff>
        </xdr:to>
        <xdr:sp macro="" textlink="">
          <xdr:nvSpPr>
            <xdr:cNvPr id="9662" name="Option Button 446" hidden="1">
              <a:extLst>
                <a:ext uri="{63B3BB69-23CF-44E3-9099-C40C66FF867C}">
                  <a14:compatExt spid="_x0000_s96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483</xdr:row>
          <xdr:rowOff>141514</xdr:rowOff>
        </xdr:from>
        <xdr:to>
          <xdr:col>9</xdr:col>
          <xdr:colOff>10886</xdr:colOff>
          <xdr:row>484</xdr:row>
          <xdr:rowOff>293914</xdr:rowOff>
        </xdr:to>
        <xdr:sp macro="" textlink="">
          <xdr:nvSpPr>
            <xdr:cNvPr id="9663" name="Option Button 447" hidden="1">
              <a:extLst>
                <a:ext uri="{63B3BB69-23CF-44E3-9099-C40C66FF867C}">
                  <a14:compatExt spid="_x0000_s96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483</xdr:row>
          <xdr:rowOff>141514</xdr:rowOff>
        </xdr:from>
        <xdr:to>
          <xdr:col>10</xdr:col>
          <xdr:colOff>179614</xdr:colOff>
          <xdr:row>484</xdr:row>
          <xdr:rowOff>293914</xdr:rowOff>
        </xdr:to>
        <xdr:sp macro="" textlink="">
          <xdr:nvSpPr>
            <xdr:cNvPr id="9664" name="Option Button 448" hidden="1">
              <a:extLst>
                <a:ext uri="{63B3BB69-23CF-44E3-9099-C40C66FF867C}">
                  <a14:compatExt spid="_x0000_s96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485</xdr:row>
          <xdr:rowOff>141514</xdr:rowOff>
        </xdr:from>
        <xdr:to>
          <xdr:col>7</xdr:col>
          <xdr:colOff>76200</xdr:colOff>
          <xdr:row>486</xdr:row>
          <xdr:rowOff>293914</xdr:rowOff>
        </xdr:to>
        <xdr:sp macro="" textlink="">
          <xdr:nvSpPr>
            <xdr:cNvPr id="9665" name="Option Button 449" hidden="1">
              <a:extLst>
                <a:ext uri="{63B3BB69-23CF-44E3-9099-C40C66FF867C}">
                  <a14:compatExt spid="_x0000_s96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485</xdr:row>
          <xdr:rowOff>141514</xdr:rowOff>
        </xdr:from>
        <xdr:to>
          <xdr:col>9</xdr:col>
          <xdr:colOff>10886</xdr:colOff>
          <xdr:row>486</xdr:row>
          <xdr:rowOff>293914</xdr:rowOff>
        </xdr:to>
        <xdr:sp macro="" textlink="">
          <xdr:nvSpPr>
            <xdr:cNvPr id="9666" name="Option Button 450" hidden="1">
              <a:extLst>
                <a:ext uri="{63B3BB69-23CF-44E3-9099-C40C66FF867C}">
                  <a14:compatExt spid="_x0000_s9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485</xdr:row>
          <xdr:rowOff>141514</xdr:rowOff>
        </xdr:from>
        <xdr:to>
          <xdr:col>10</xdr:col>
          <xdr:colOff>179614</xdr:colOff>
          <xdr:row>486</xdr:row>
          <xdr:rowOff>293914</xdr:rowOff>
        </xdr:to>
        <xdr:sp macro="" textlink="">
          <xdr:nvSpPr>
            <xdr:cNvPr id="9667" name="Option Button 451" hidden="1">
              <a:extLst>
                <a:ext uri="{63B3BB69-23CF-44E3-9099-C40C66FF867C}">
                  <a14:compatExt spid="_x0000_s96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487</xdr:row>
          <xdr:rowOff>141514</xdr:rowOff>
        </xdr:from>
        <xdr:to>
          <xdr:col>7</xdr:col>
          <xdr:colOff>76200</xdr:colOff>
          <xdr:row>488</xdr:row>
          <xdr:rowOff>293914</xdr:rowOff>
        </xdr:to>
        <xdr:sp macro="" textlink="">
          <xdr:nvSpPr>
            <xdr:cNvPr id="9668" name="Option Button 452" hidden="1">
              <a:extLst>
                <a:ext uri="{63B3BB69-23CF-44E3-9099-C40C66FF867C}">
                  <a14:compatExt spid="_x0000_s96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487</xdr:row>
          <xdr:rowOff>141514</xdr:rowOff>
        </xdr:from>
        <xdr:to>
          <xdr:col>9</xdr:col>
          <xdr:colOff>10886</xdr:colOff>
          <xdr:row>488</xdr:row>
          <xdr:rowOff>293914</xdr:rowOff>
        </xdr:to>
        <xdr:sp macro="" textlink="">
          <xdr:nvSpPr>
            <xdr:cNvPr id="9669" name="Option Button 453" hidden="1">
              <a:extLst>
                <a:ext uri="{63B3BB69-23CF-44E3-9099-C40C66FF867C}">
                  <a14:compatExt spid="_x0000_s96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487</xdr:row>
          <xdr:rowOff>141514</xdr:rowOff>
        </xdr:from>
        <xdr:to>
          <xdr:col>10</xdr:col>
          <xdr:colOff>179614</xdr:colOff>
          <xdr:row>488</xdr:row>
          <xdr:rowOff>293914</xdr:rowOff>
        </xdr:to>
        <xdr:sp macro="" textlink="">
          <xdr:nvSpPr>
            <xdr:cNvPr id="9670" name="Option Button 454" hidden="1">
              <a:extLst>
                <a:ext uri="{63B3BB69-23CF-44E3-9099-C40C66FF867C}">
                  <a14:compatExt spid="_x0000_s96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489</xdr:row>
          <xdr:rowOff>141514</xdr:rowOff>
        </xdr:from>
        <xdr:to>
          <xdr:col>7</xdr:col>
          <xdr:colOff>76200</xdr:colOff>
          <xdr:row>490</xdr:row>
          <xdr:rowOff>293914</xdr:rowOff>
        </xdr:to>
        <xdr:sp macro="" textlink="">
          <xdr:nvSpPr>
            <xdr:cNvPr id="9671" name="Option Button 455" hidden="1">
              <a:extLst>
                <a:ext uri="{63B3BB69-23CF-44E3-9099-C40C66FF867C}">
                  <a14:compatExt spid="_x0000_s96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489</xdr:row>
          <xdr:rowOff>141514</xdr:rowOff>
        </xdr:from>
        <xdr:to>
          <xdr:col>9</xdr:col>
          <xdr:colOff>10886</xdr:colOff>
          <xdr:row>490</xdr:row>
          <xdr:rowOff>293914</xdr:rowOff>
        </xdr:to>
        <xdr:sp macro="" textlink="">
          <xdr:nvSpPr>
            <xdr:cNvPr id="9672" name="Option Button 456" hidden="1">
              <a:extLst>
                <a:ext uri="{63B3BB69-23CF-44E3-9099-C40C66FF867C}">
                  <a14:compatExt spid="_x0000_s96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489</xdr:row>
          <xdr:rowOff>141514</xdr:rowOff>
        </xdr:from>
        <xdr:to>
          <xdr:col>10</xdr:col>
          <xdr:colOff>179614</xdr:colOff>
          <xdr:row>490</xdr:row>
          <xdr:rowOff>293914</xdr:rowOff>
        </xdr:to>
        <xdr:sp macro="" textlink="">
          <xdr:nvSpPr>
            <xdr:cNvPr id="9673" name="Option Button 457" hidden="1">
              <a:extLst>
                <a:ext uri="{63B3BB69-23CF-44E3-9099-C40C66FF867C}">
                  <a14:compatExt spid="_x0000_s96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491</xdr:row>
          <xdr:rowOff>141514</xdr:rowOff>
        </xdr:from>
        <xdr:to>
          <xdr:col>7</xdr:col>
          <xdr:colOff>76200</xdr:colOff>
          <xdr:row>492</xdr:row>
          <xdr:rowOff>293914</xdr:rowOff>
        </xdr:to>
        <xdr:sp macro="" textlink="">
          <xdr:nvSpPr>
            <xdr:cNvPr id="9674" name="Option Button 458" hidden="1">
              <a:extLst>
                <a:ext uri="{63B3BB69-23CF-44E3-9099-C40C66FF867C}">
                  <a14:compatExt spid="_x0000_s96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491</xdr:row>
          <xdr:rowOff>141514</xdr:rowOff>
        </xdr:from>
        <xdr:to>
          <xdr:col>9</xdr:col>
          <xdr:colOff>10886</xdr:colOff>
          <xdr:row>492</xdr:row>
          <xdr:rowOff>293914</xdr:rowOff>
        </xdr:to>
        <xdr:sp macro="" textlink="">
          <xdr:nvSpPr>
            <xdr:cNvPr id="9675" name="Option Button 459" hidden="1">
              <a:extLst>
                <a:ext uri="{63B3BB69-23CF-44E3-9099-C40C66FF867C}">
                  <a14:compatExt spid="_x0000_s96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491</xdr:row>
          <xdr:rowOff>141514</xdr:rowOff>
        </xdr:from>
        <xdr:to>
          <xdr:col>10</xdr:col>
          <xdr:colOff>179614</xdr:colOff>
          <xdr:row>492</xdr:row>
          <xdr:rowOff>293914</xdr:rowOff>
        </xdr:to>
        <xdr:sp macro="" textlink="">
          <xdr:nvSpPr>
            <xdr:cNvPr id="9676" name="Option Button 460" hidden="1">
              <a:extLst>
                <a:ext uri="{63B3BB69-23CF-44E3-9099-C40C66FF867C}">
                  <a14:compatExt spid="_x0000_s96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103414</xdr:colOff>
          <xdr:row>493</xdr:row>
          <xdr:rowOff>141514</xdr:rowOff>
        </xdr:from>
        <xdr:to>
          <xdr:col>7</xdr:col>
          <xdr:colOff>76200</xdr:colOff>
          <xdr:row>494</xdr:row>
          <xdr:rowOff>293914</xdr:rowOff>
        </xdr:to>
        <xdr:sp macro="" textlink="">
          <xdr:nvSpPr>
            <xdr:cNvPr id="9677" name="Option Button 461" hidden="1">
              <a:extLst>
                <a:ext uri="{63B3BB69-23CF-44E3-9099-C40C66FF867C}">
                  <a14:compatExt spid="_x0000_s96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493</xdr:row>
          <xdr:rowOff>141514</xdr:rowOff>
        </xdr:from>
        <xdr:to>
          <xdr:col>9</xdr:col>
          <xdr:colOff>10886</xdr:colOff>
          <xdr:row>494</xdr:row>
          <xdr:rowOff>293914</xdr:rowOff>
        </xdr:to>
        <xdr:sp macro="" textlink="">
          <xdr:nvSpPr>
            <xdr:cNvPr id="9678" name="Option Button 462" hidden="1">
              <a:extLst>
                <a:ext uri="{63B3BB69-23CF-44E3-9099-C40C66FF867C}">
                  <a14:compatExt spid="_x0000_s96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201386</xdr:colOff>
          <xdr:row>493</xdr:row>
          <xdr:rowOff>141514</xdr:rowOff>
        </xdr:from>
        <xdr:to>
          <xdr:col>10</xdr:col>
          <xdr:colOff>179614</xdr:colOff>
          <xdr:row>494</xdr:row>
          <xdr:rowOff>293914</xdr:rowOff>
        </xdr:to>
        <xdr:sp macro="" textlink="">
          <xdr:nvSpPr>
            <xdr:cNvPr id="9679" name="Option Button 463" hidden="1">
              <a:extLst>
                <a:ext uri="{63B3BB69-23CF-44E3-9099-C40C66FF867C}">
                  <a14:compatExt spid="_x0000_s96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481</xdr:row>
          <xdr:rowOff>48986</xdr:rowOff>
        </xdr:from>
        <xdr:to>
          <xdr:col>10</xdr:col>
          <xdr:colOff>217714</xdr:colOff>
          <xdr:row>482</xdr:row>
          <xdr:rowOff>332014</xdr:rowOff>
        </xdr:to>
        <xdr:sp macro="" textlink="">
          <xdr:nvSpPr>
            <xdr:cNvPr id="9681" name="Group Box 465" hidden="1">
              <a:extLst>
                <a:ext uri="{63B3BB69-23CF-44E3-9099-C40C66FF867C}">
                  <a14:compatExt spid="_x0000_s96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483</xdr:row>
          <xdr:rowOff>10886</xdr:rowOff>
        </xdr:from>
        <xdr:to>
          <xdr:col>10</xdr:col>
          <xdr:colOff>217714</xdr:colOff>
          <xdr:row>484</xdr:row>
          <xdr:rowOff>332014</xdr:rowOff>
        </xdr:to>
        <xdr:sp macro="" textlink="">
          <xdr:nvSpPr>
            <xdr:cNvPr id="9682" name="Group Box 466" hidden="1">
              <a:extLst>
                <a:ext uri="{63B3BB69-23CF-44E3-9099-C40C66FF867C}">
                  <a14:compatExt spid="_x0000_s9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485</xdr:row>
          <xdr:rowOff>0</xdr:rowOff>
        </xdr:from>
        <xdr:to>
          <xdr:col>11</xdr:col>
          <xdr:colOff>0</xdr:colOff>
          <xdr:row>486</xdr:row>
          <xdr:rowOff>370114</xdr:rowOff>
        </xdr:to>
        <xdr:sp macro="" textlink="">
          <xdr:nvSpPr>
            <xdr:cNvPr id="9683" name="Group Box 467" hidden="1">
              <a:extLst>
                <a:ext uri="{63B3BB69-23CF-44E3-9099-C40C66FF867C}">
                  <a14:compatExt spid="_x0000_s9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487</xdr:row>
          <xdr:rowOff>10886</xdr:rowOff>
        </xdr:from>
        <xdr:to>
          <xdr:col>11</xdr:col>
          <xdr:colOff>0</xdr:colOff>
          <xdr:row>488</xdr:row>
          <xdr:rowOff>353786</xdr:rowOff>
        </xdr:to>
        <xdr:sp macro="" textlink="">
          <xdr:nvSpPr>
            <xdr:cNvPr id="9684" name="Group Box 468" hidden="1">
              <a:extLst>
                <a:ext uri="{63B3BB69-23CF-44E3-9099-C40C66FF867C}">
                  <a14:compatExt spid="_x0000_s9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489</xdr:row>
          <xdr:rowOff>27214</xdr:rowOff>
        </xdr:from>
        <xdr:to>
          <xdr:col>11</xdr:col>
          <xdr:colOff>0</xdr:colOff>
          <xdr:row>490</xdr:row>
          <xdr:rowOff>353786</xdr:rowOff>
        </xdr:to>
        <xdr:sp macro="" textlink="">
          <xdr:nvSpPr>
            <xdr:cNvPr id="9685" name="Group Box 469" hidden="1">
              <a:extLst>
                <a:ext uri="{63B3BB69-23CF-44E3-9099-C40C66FF867C}">
                  <a14:compatExt spid="_x0000_s9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491</xdr:row>
          <xdr:rowOff>0</xdr:rowOff>
        </xdr:from>
        <xdr:to>
          <xdr:col>10</xdr:col>
          <xdr:colOff>217714</xdr:colOff>
          <xdr:row>492</xdr:row>
          <xdr:rowOff>381000</xdr:rowOff>
        </xdr:to>
        <xdr:sp macro="" textlink="">
          <xdr:nvSpPr>
            <xdr:cNvPr id="9686" name="Group Box 470" hidden="1">
              <a:extLst>
                <a:ext uri="{63B3BB69-23CF-44E3-9099-C40C66FF867C}">
                  <a14:compatExt spid="_x0000_s96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493</xdr:row>
          <xdr:rowOff>0</xdr:rowOff>
        </xdr:from>
        <xdr:to>
          <xdr:col>10</xdr:col>
          <xdr:colOff>201386</xdr:colOff>
          <xdr:row>494</xdr:row>
          <xdr:rowOff>391886</xdr:rowOff>
        </xdr:to>
        <xdr:sp macro="" textlink="">
          <xdr:nvSpPr>
            <xdr:cNvPr id="9687" name="Group Box 471" hidden="1">
              <a:extLst>
                <a:ext uri="{63B3BB69-23CF-44E3-9099-C40C66FF867C}">
                  <a14:compatExt spid="_x0000_s9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160</xdr:row>
          <xdr:rowOff>419100</xdr:rowOff>
        </xdr:from>
        <xdr:to>
          <xdr:col>10</xdr:col>
          <xdr:colOff>201386</xdr:colOff>
          <xdr:row>163</xdr:row>
          <xdr:rowOff>114300</xdr:rowOff>
        </xdr:to>
        <xdr:sp macro="" textlink="">
          <xdr:nvSpPr>
            <xdr:cNvPr id="9688" name="Group Box 472" hidden="1">
              <a:extLst>
                <a:ext uri="{63B3BB69-23CF-44E3-9099-C40C66FF867C}">
                  <a14:compatExt spid="_x0000_s96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232</xdr:row>
          <xdr:rowOff>27214</xdr:rowOff>
        </xdr:from>
        <xdr:to>
          <xdr:col>10</xdr:col>
          <xdr:colOff>217714</xdr:colOff>
          <xdr:row>235</xdr:row>
          <xdr:rowOff>0</xdr:rowOff>
        </xdr:to>
        <xdr:sp macro="" textlink="">
          <xdr:nvSpPr>
            <xdr:cNvPr id="9689" name="Group Box 473" hidden="1">
              <a:extLst>
                <a:ext uri="{63B3BB69-23CF-44E3-9099-C40C66FF867C}">
                  <a14:compatExt spid="_x0000_s96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479</xdr:row>
          <xdr:rowOff>10886</xdr:rowOff>
        </xdr:from>
        <xdr:to>
          <xdr:col>10</xdr:col>
          <xdr:colOff>217714</xdr:colOff>
          <xdr:row>480</xdr:row>
          <xdr:rowOff>228600</xdr:rowOff>
        </xdr:to>
        <xdr:sp macro="" textlink="">
          <xdr:nvSpPr>
            <xdr:cNvPr id="9692" name="Group Box 476" hidden="1">
              <a:extLst>
                <a:ext uri="{63B3BB69-23CF-44E3-9099-C40C66FF867C}">
                  <a14:compatExt spid="_x0000_s9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527</xdr:row>
          <xdr:rowOff>38100</xdr:rowOff>
        </xdr:from>
        <xdr:to>
          <xdr:col>9</xdr:col>
          <xdr:colOff>201386</xdr:colOff>
          <xdr:row>528</xdr:row>
          <xdr:rowOff>255814</xdr:rowOff>
        </xdr:to>
        <xdr:sp macro="" textlink="">
          <xdr:nvSpPr>
            <xdr:cNvPr id="9696" name="Option Button 480" hidden="1">
              <a:extLst>
                <a:ext uri="{63B3BB69-23CF-44E3-9099-C40C66FF867C}">
                  <a14:compatExt spid="_x0000_s9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529</xdr:row>
          <xdr:rowOff>38100</xdr:rowOff>
        </xdr:from>
        <xdr:to>
          <xdr:col>9</xdr:col>
          <xdr:colOff>190500</xdr:colOff>
          <xdr:row>531</xdr:row>
          <xdr:rowOff>27214</xdr:rowOff>
        </xdr:to>
        <xdr:sp macro="" textlink="">
          <xdr:nvSpPr>
            <xdr:cNvPr id="9697" name="Option Button 481" hidden="1">
              <a:extLst>
                <a:ext uri="{63B3BB69-23CF-44E3-9099-C40C66FF867C}">
                  <a14:compatExt spid="_x0000_s9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87086</xdr:colOff>
          <xdr:row>531</xdr:row>
          <xdr:rowOff>48986</xdr:rowOff>
        </xdr:from>
        <xdr:to>
          <xdr:col>9</xdr:col>
          <xdr:colOff>201386</xdr:colOff>
          <xdr:row>532</xdr:row>
          <xdr:rowOff>255814</xdr:rowOff>
        </xdr:to>
        <xdr:sp macro="" textlink="">
          <xdr:nvSpPr>
            <xdr:cNvPr id="9698" name="Option Button 482" hidden="1">
              <a:extLst>
                <a:ext uri="{63B3BB69-23CF-44E3-9099-C40C66FF867C}">
                  <a14:compatExt spid="_x0000_s9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533</xdr:row>
          <xdr:rowOff>48986</xdr:rowOff>
        </xdr:from>
        <xdr:to>
          <xdr:col>9</xdr:col>
          <xdr:colOff>190500</xdr:colOff>
          <xdr:row>535</xdr:row>
          <xdr:rowOff>38100</xdr:rowOff>
        </xdr:to>
        <xdr:sp macro="" textlink="">
          <xdr:nvSpPr>
            <xdr:cNvPr id="9699" name="Option Button 483" hidden="1">
              <a:extLst>
                <a:ext uri="{63B3BB69-23CF-44E3-9099-C40C66FF867C}">
                  <a14:compatExt spid="_x0000_s9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535</xdr:row>
          <xdr:rowOff>48986</xdr:rowOff>
        </xdr:from>
        <xdr:to>
          <xdr:col>9</xdr:col>
          <xdr:colOff>152400</xdr:colOff>
          <xdr:row>536</xdr:row>
          <xdr:rowOff>266700</xdr:rowOff>
        </xdr:to>
        <xdr:sp macro="" textlink="">
          <xdr:nvSpPr>
            <xdr:cNvPr id="9700" name="Option Button 484" hidden="1">
              <a:extLst>
                <a:ext uri="{63B3BB69-23CF-44E3-9099-C40C66FF867C}">
                  <a14:compatExt spid="_x0000_s9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543</xdr:row>
          <xdr:rowOff>48986</xdr:rowOff>
        </xdr:from>
        <xdr:to>
          <xdr:col>9</xdr:col>
          <xdr:colOff>201386</xdr:colOff>
          <xdr:row>544</xdr:row>
          <xdr:rowOff>266700</xdr:rowOff>
        </xdr:to>
        <xdr:sp macro="" textlink="">
          <xdr:nvSpPr>
            <xdr:cNvPr id="9701" name="Option Button 485" hidden="1">
              <a:extLst>
                <a:ext uri="{63B3BB69-23CF-44E3-9099-C40C66FF867C}">
                  <a14:compatExt spid="_x0000_s9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545</xdr:row>
          <xdr:rowOff>65314</xdr:rowOff>
        </xdr:from>
        <xdr:to>
          <xdr:col>9</xdr:col>
          <xdr:colOff>201386</xdr:colOff>
          <xdr:row>546</xdr:row>
          <xdr:rowOff>277586</xdr:rowOff>
        </xdr:to>
        <xdr:sp macro="" textlink="">
          <xdr:nvSpPr>
            <xdr:cNvPr id="9702" name="Option Button 486" hidden="1">
              <a:extLst>
                <a:ext uri="{63B3BB69-23CF-44E3-9099-C40C66FF867C}">
                  <a14:compatExt spid="_x0000_s9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547</xdr:row>
          <xdr:rowOff>48986</xdr:rowOff>
        </xdr:from>
        <xdr:to>
          <xdr:col>9</xdr:col>
          <xdr:colOff>190500</xdr:colOff>
          <xdr:row>549</xdr:row>
          <xdr:rowOff>38100</xdr:rowOff>
        </xdr:to>
        <xdr:sp macro="" textlink="">
          <xdr:nvSpPr>
            <xdr:cNvPr id="9703" name="Option Button 487" hidden="1">
              <a:extLst>
                <a:ext uri="{63B3BB69-23CF-44E3-9099-C40C66FF867C}">
                  <a14:compatExt spid="_x0000_s9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549</xdr:row>
          <xdr:rowOff>48986</xdr:rowOff>
        </xdr:from>
        <xdr:to>
          <xdr:col>9</xdr:col>
          <xdr:colOff>179614</xdr:colOff>
          <xdr:row>551</xdr:row>
          <xdr:rowOff>38100</xdr:rowOff>
        </xdr:to>
        <xdr:sp macro="" textlink="">
          <xdr:nvSpPr>
            <xdr:cNvPr id="9704" name="Option Button 488" hidden="1">
              <a:extLst>
                <a:ext uri="{63B3BB69-23CF-44E3-9099-C40C66FF867C}">
                  <a14:compatExt spid="_x0000_s9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551</xdr:row>
          <xdr:rowOff>48986</xdr:rowOff>
        </xdr:from>
        <xdr:to>
          <xdr:col>9</xdr:col>
          <xdr:colOff>141514</xdr:colOff>
          <xdr:row>553</xdr:row>
          <xdr:rowOff>38100</xdr:rowOff>
        </xdr:to>
        <xdr:sp macro="" textlink="">
          <xdr:nvSpPr>
            <xdr:cNvPr id="9705" name="Option Button 489" hidden="1">
              <a:extLst>
                <a:ext uri="{63B3BB69-23CF-44E3-9099-C40C66FF867C}">
                  <a14:compatExt spid="_x0000_s97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559</xdr:row>
          <xdr:rowOff>48986</xdr:rowOff>
        </xdr:from>
        <xdr:to>
          <xdr:col>9</xdr:col>
          <xdr:colOff>201386</xdr:colOff>
          <xdr:row>560</xdr:row>
          <xdr:rowOff>266700</xdr:rowOff>
        </xdr:to>
        <xdr:sp macro="" textlink="">
          <xdr:nvSpPr>
            <xdr:cNvPr id="9706" name="Option Button 490" hidden="1">
              <a:extLst>
                <a:ext uri="{63B3BB69-23CF-44E3-9099-C40C66FF867C}">
                  <a14:compatExt spid="_x0000_s9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561</xdr:row>
          <xdr:rowOff>65314</xdr:rowOff>
        </xdr:from>
        <xdr:to>
          <xdr:col>9</xdr:col>
          <xdr:colOff>201386</xdr:colOff>
          <xdr:row>562</xdr:row>
          <xdr:rowOff>277586</xdr:rowOff>
        </xdr:to>
        <xdr:sp macro="" textlink="">
          <xdr:nvSpPr>
            <xdr:cNvPr id="9707" name="Option Button 491" hidden="1">
              <a:extLst>
                <a:ext uri="{63B3BB69-23CF-44E3-9099-C40C66FF867C}">
                  <a14:compatExt spid="_x0000_s9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563</xdr:row>
          <xdr:rowOff>48986</xdr:rowOff>
        </xdr:from>
        <xdr:to>
          <xdr:col>9</xdr:col>
          <xdr:colOff>190500</xdr:colOff>
          <xdr:row>564</xdr:row>
          <xdr:rowOff>255814</xdr:rowOff>
        </xdr:to>
        <xdr:sp macro="" textlink="">
          <xdr:nvSpPr>
            <xdr:cNvPr id="9708" name="Option Button 492" hidden="1">
              <a:extLst>
                <a:ext uri="{63B3BB69-23CF-44E3-9099-C40C66FF867C}">
                  <a14:compatExt spid="_x0000_s9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565</xdr:row>
          <xdr:rowOff>48986</xdr:rowOff>
        </xdr:from>
        <xdr:to>
          <xdr:col>9</xdr:col>
          <xdr:colOff>190500</xdr:colOff>
          <xdr:row>567</xdr:row>
          <xdr:rowOff>38100</xdr:rowOff>
        </xdr:to>
        <xdr:sp macro="" textlink="">
          <xdr:nvSpPr>
            <xdr:cNvPr id="9709" name="Option Button 493" hidden="1">
              <a:extLst>
                <a:ext uri="{63B3BB69-23CF-44E3-9099-C40C66FF867C}">
                  <a14:compatExt spid="_x0000_s9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567</xdr:row>
          <xdr:rowOff>48986</xdr:rowOff>
        </xdr:from>
        <xdr:to>
          <xdr:col>9</xdr:col>
          <xdr:colOff>141514</xdr:colOff>
          <xdr:row>569</xdr:row>
          <xdr:rowOff>38100</xdr:rowOff>
        </xdr:to>
        <xdr:sp macro="" textlink="">
          <xdr:nvSpPr>
            <xdr:cNvPr id="9710" name="Option Button 494" hidden="1">
              <a:extLst>
                <a:ext uri="{63B3BB69-23CF-44E3-9099-C40C66FF867C}">
                  <a14:compatExt spid="_x0000_s9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575</xdr:row>
          <xdr:rowOff>48986</xdr:rowOff>
        </xdr:from>
        <xdr:to>
          <xdr:col>9</xdr:col>
          <xdr:colOff>201386</xdr:colOff>
          <xdr:row>576</xdr:row>
          <xdr:rowOff>266700</xdr:rowOff>
        </xdr:to>
        <xdr:sp macro="" textlink="">
          <xdr:nvSpPr>
            <xdr:cNvPr id="9711" name="Option Button 495" hidden="1">
              <a:extLst>
                <a:ext uri="{63B3BB69-23CF-44E3-9099-C40C66FF867C}">
                  <a14:compatExt spid="_x0000_s9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577</xdr:row>
          <xdr:rowOff>65314</xdr:rowOff>
        </xdr:from>
        <xdr:to>
          <xdr:col>9</xdr:col>
          <xdr:colOff>201386</xdr:colOff>
          <xdr:row>578</xdr:row>
          <xdr:rowOff>277586</xdr:rowOff>
        </xdr:to>
        <xdr:sp macro="" textlink="">
          <xdr:nvSpPr>
            <xdr:cNvPr id="9712" name="Option Button 496" hidden="1">
              <a:extLst>
                <a:ext uri="{63B3BB69-23CF-44E3-9099-C40C66FF867C}">
                  <a14:compatExt spid="_x0000_s9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579</xdr:row>
          <xdr:rowOff>48986</xdr:rowOff>
        </xdr:from>
        <xdr:to>
          <xdr:col>9</xdr:col>
          <xdr:colOff>190500</xdr:colOff>
          <xdr:row>580</xdr:row>
          <xdr:rowOff>255814</xdr:rowOff>
        </xdr:to>
        <xdr:sp macro="" textlink="">
          <xdr:nvSpPr>
            <xdr:cNvPr id="9713" name="Option Button 497" hidden="1">
              <a:extLst>
                <a:ext uri="{63B3BB69-23CF-44E3-9099-C40C66FF867C}">
                  <a14:compatExt spid="_x0000_s9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582</xdr:row>
          <xdr:rowOff>38100</xdr:rowOff>
        </xdr:from>
        <xdr:to>
          <xdr:col>9</xdr:col>
          <xdr:colOff>190500</xdr:colOff>
          <xdr:row>583</xdr:row>
          <xdr:rowOff>255814</xdr:rowOff>
        </xdr:to>
        <xdr:sp macro="" textlink="">
          <xdr:nvSpPr>
            <xdr:cNvPr id="9714" name="Option Button 498" hidden="1">
              <a:extLst>
                <a:ext uri="{63B3BB69-23CF-44E3-9099-C40C66FF867C}">
                  <a14:compatExt spid="_x0000_s97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584</xdr:row>
          <xdr:rowOff>38100</xdr:rowOff>
        </xdr:from>
        <xdr:to>
          <xdr:col>9</xdr:col>
          <xdr:colOff>152400</xdr:colOff>
          <xdr:row>586</xdr:row>
          <xdr:rowOff>27214</xdr:rowOff>
        </xdr:to>
        <xdr:sp macro="" textlink="">
          <xdr:nvSpPr>
            <xdr:cNvPr id="9715" name="Option Button 499" hidden="1">
              <a:extLst>
                <a:ext uri="{63B3BB69-23CF-44E3-9099-C40C66FF867C}">
                  <a14:compatExt spid="_x0000_s97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592</xdr:row>
          <xdr:rowOff>48986</xdr:rowOff>
        </xdr:from>
        <xdr:to>
          <xdr:col>9</xdr:col>
          <xdr:colOff>201386</xdr:colOff>
          <xdr:row>593</xdr:row>
          <xdr:rowOff>266700</xdr:rowOff>
        </xdr:to>
        <xdr:sp macro="" textlink="">
          <xdr:nvSpPr>
            <xdr:cNvPr id="9716" name="Option Button 500" hidden="1">
              <a:extLst>
                <a:ext uri="{63B3BB69-23CF-44E3-9099-C40C66FF867C}">
                  <a14:compatExt spid="_x0000_s97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594</xdr:row>
          <xdr:rowOff>65314</xdr:rowOff>
        </xdr:from>
        <xdr:to>
          <xdr:col>9</xdr:col>
          <xdr:colOff>201386</xdr:colOff>
          <xdr:row>595</xdr:row>
          <xdr:rowOff>277586</xdr:rowOff>
        </xdr:to>
        <xdr:sp macro="" textlink="">
          <xdr:nvSpPr>
            <xdr:cNvPr id="9717" name="Option Button 501" hidden="1">
              <a:extLst>
                <a:ext uri="{63B3BB69-23CF-44E3-9099-C40C66FF867C}">
                  <a14:compatExt spid="_x0000_s97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596</xdr:row>
          <xdr:rowOff>48986</xdr:rowOff>
        </xdr:from>
        <xdr:to>
          <xdr:col>9</xdr:col>
          <xdr:colOff>190500</xdr:colOff>
          <xdr:row>597</xdr:row>
          <xdr:rowOff>255814</xdr:rowOff>
        </xdr:to>
        <xdr:sp macro="" textlink="">
          <xdr:nvSpPr>
            <xdr:cNvPr id="9718" name="Option Button 502" hidden="1">
              <a:extLst>
                <a:ext uri="{63B3BB69-23CF-44E3-9099-C40C66FF867C}">
                  <a14:compatExt spid="_x0000_s97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598</xdr:row>
          <xdr:rowOff>48986</xdr:rowOff>
        </xdr:from>
        <xdr:to>
          <xdr:col>9</xdr:col>
          <xdr:colOff>190500</xdr:colOff>
          <xdr:row>599</xdr:row>
          <xdr:rowOff>266700</xdr:rowOff>
        </xdr:to>
        <xdr:sp macro="" textlink="">
          <xdr:nvSpPr>
            <xdr:cNvPr id="9719" name="Option Button 503" hidden="1">
              <a:extLst>
                <a:ext uri="{63B3BB69-23CF-44E3-9099-C40C66FF867C}">
                  <a14:compatExt spid="_x0000_s97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600</xdr:row>
          <xdr:rowOff>48986</xdr:rowOff>
        </xdr:from>
        <xdr:to>
          <xdr:col>9</xdr:col>
          <xdr:colOff>141514</xdr:colOff>
          <xdr:row>602</xdr:row>
          <xdr:rowOff>38100</xdr:rowOff>
        </xdr:to>
        <xdr:sp macro="" textlink="">
          <xdr:nvSpPr>
            <xdr:cNvPr id="9720" name="Option Button 504" hidden="1">
              <a:extLst>
                <a:ext uri="{63B3BB69-23CF-44E3-9099-C40C66FF867C}">
                  <a14:compatExt spid="_x0000_s97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389</xdr:row>
          <xdr:rowOff>48986</xdr:rowOff>
        </xdr:from>
        <xdr:to>
          <xdr:col>9</xdr:col>
          <xdr:colOff>201386</xdr:colOff>
          <xdr:row>390</xdr:row>
          <xdr:rowOff>266700</xdr:rowOff>
        </xdr:to>
        <xdr:sp macro="" textlink="">
          <xdr:nvSpPr>
            <xdr:cNvPr id="9721" name="Option Button 505" hidden="1">
              <a:extLst>
                <a:ext uri="{63B3BB69-23CF-44E3-9099-C40C66FF867C}">
                  <a14:compatExt spid="_x0000_s97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391</xdr:row>
          <xdr:rowOff>38100</xdr:rowOff>
        </xdr:from>
        <xdr:to>
          <xdr:col>9</xdr:col>
          <xdr:colOff>201386</xdr:colOff>
          <xdr:row>392</xdr:row>
          <xdr:rowOff>255814</xdr:rowOff>
        </xdr:to>
        <xdr:sp macro="" textlink="">
          <xdr:nvSpPr>
            <xdr:cNvPr id="9722" name="Option Button 506" hidden="1">
              <a:extLst>
                <a:ext uri="{63B3BB69-23CF-44E3-9099-C40C66FF867C}">
                  <a14:compatExt spid="_x0000_s97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393</xdr:row>
          <xdr:rowOff>48986</xdr:rowOff>
        </xdr:from>
        <xdr:to>
          <xdr:col>9</xdr:col>
          <xdr:colOff>190500</xdr:colOff>
          <xdr:row>395</xdr:row>
          <xdr:rowOff>38100</xdr:rowOff>
        </xdr:to>
        <xdr:sp macro="" textlink="">
          <xdr:nvSpPr>
            <xdr:cNvPr id="9723" name="Option Button 507" hidden="1">
              <a:extLst>
                <a:ext uri="{63B3BB69-23CF-44E3-9099-C40C66FF867C}">
                  <a14:compatExt spid="_x0000_s9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395</xdr:row>
          <xdr:rowOff>38100</xdr:rowOff>
        </xdr:from>
        <xdr:to>
          <xdr:col>9</xdr:col>
          <xdr:colOff>179614</xdr:colOff>
          <xdr:row>396</xdr:row>
          <xdr:rowOff>255814</xdr:rowOff>
        </xdr:to>
        <xdr:sp macro="" textlink="">
          <xdr:nvSpPr>
            <xdr:cNvPr id="9724" name="Option Button 508" hidden="1">
              <a:extLst>
                <a:ext uri="{63B3BB69-23CF-44E3-9099-C40C66FF867C}">
                  <a14:compatExt spid="_x0000_s97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397</xdr:row>
          <xdr:rowOff>38100</xdr:rowOff>
        </xdr:from>
        <xdr:to>
          <xdr:col>9</xdr:col>
          <xdr:colOff>141514</xdr:colOff>
          <xdr:row>398</xdr:row>
          <xdr:rowOff>255814</xdr:rowOff>
        </xdr:to>
        <xdr:sp macro="" textlink="">
          <xdr:nvSpPr>
            <xdr:cNvPr id="9725" name="Option Button 509" hidden="1">
              <a:extLst>
                <a:ext uri="{63B3BB69-23CF-44E3-9099-C40C66FF867C}">
                  <a14:compatExt spid="_x0000_s97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688</xdr:row>
          <xdr:rowOff>48986</xdr:rowOff>
        </xdr:from>
        <xdr:to>
          <xdr:col>9</xdr:col>
          <xdr:colOff>201386</xdr:colOff>
          <xdr:row>690</xdr:row>
          <xdr:rowOff>38100</xdr:rowOff>
        </xdr:to>
        <xdr:sp macro="" textlink="">
          <xdr:nvSpPr>
            <xdr:cNvPr id="9726" name="Option Button 510" hidden="1">
              <a:extLst>
                <a:ext uri="{63B3BB69-23CF-44E3-9099-C40C66FF867C}">
                  <a14:compatExt spid="_x0000_s97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690</xdr:row>
          <xdr:rowOff>48986</xdr:rowOff>
        </xdr:from>
        <xdr:to>
          <xdr:col>9</xdr:col>
          <xdr:colOff>201386</xdr:colOff>
          <xdr:row>691</xdr:row>
          <xdr:rowOff>266700</xdr:rowOff>
        </xdr:to>
        <xdr:sp macro="" textlink="">
          <xdr:nvSpPr>
            <xdr:cNvPr id="9727" name="Option Button 511" hidden="1">
              <a:extLst>
                <a:ext uri="{63B3BB69-23CF-44E3-9099-C40C66FF867C}">
                  <a14:compatExt spid="_x0000_s97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692</xdr:row>
          <xdr:rowOff>48986</xdr:rowOff>
        </xdr:from>
        <xdr:to>
          <xdr:col>9</xdr:col>
          <xdr:colOff>190500</xdr:colOff>
          <xdr:row>693</xdr:row>
          <xdr:rowOff>255814</xdr:rowOff>
        </xdr:to>
        <xdr:sp macro="" textlink="">
          <xdr:nvSpPr>
            <xdr:cNvPr id="9728" name="Option Button 512" hidden="1">
              <a:extLst>
                <a:ext uri="{63B3BB69-23CF-44E3-9099-C40C66FF867C}">
                  <a14:compatExt spid="_x0000_s97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694</xdr:row>
          <xdr:rowOff>48986</xdr:rowOff>
        </xdr:from>
        <xdr:to>
          <xdr:col>9</xdr:col>
          <xdr:colOff>190500</xdr:colOff>
          <xdr:row>695</xdr:row>
          <xdr:rowOff>266700</xdr:rowOff>
        </xdr:to>
        <xdr:sp macro="" textlink="">
          <xdr:nvSpPr>
            <xdr:cNvPr id="9729" name="Option Button 513" hidden="1">
              <a:extLst>
                <a:ext uri="{63B3BB69-23CF-44E3-9099-C40C66FF867C}">
                  <a14:compatExt spid="_x0000_s97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696</xdr:row>
          <xdr:rowOff>48986</xdr:rowOff>
        </xdr:from>
        <xdr:to>
          <xdr:col>9</xdr:col>
          <xdr:colOff>141514</xdr:colOff>
          <xdr:row>697</xdr:row>
          <xdr:rowOff>266700</xdr:rowOff>
        </xdr:to>
        <xdr:sp macro="" textlink="">
          <xdr:nvSpPr>
            <xdr:cNvPr id="9730" name="Option Button 514" hidden="1">
              <a:extLst>
                <a:ext uri="{63B3BB69-23CF-44E3-9099-C40C66FF867C}">
                  <a14:compatExt spid="_x0000_s97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672</xdr:row>
          <xdr:rowOff>48986</xdr:rowOff>
        </xdr:from>
        <xdr:to>
          <xdr:col>9</xdr:col>
          <xdr:colOff>201386</xdr:colOff>
          <xdr:row>673</xdr:row>
          <xdr:rowOff>266700</xdr:rowOff>
        </xdr:to>
        <xdr:sp macro="" textlink="">
          <xdr:nvSpPr>
            <xdr:cNvPr id="9731" name="Option Button 515" hidden="1">
              <a:extLst>
                <a:ext uri="{63B3BB69-23CF-44E3-9099-C40C66FF867C}">
                  <a14:compatExt spid="_x0000_s97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674</xdr:row>
          <xdr:rowOff>65314</xdr:rowOff>
        </xdr:from>
        <xdr:to>
          <xdr:col>9</xdr:col>
          <xdr:colOff>201386</xdr:colOff>
          <xdr:row>675</xdr:row>
          <xdr:rowOff>277586</xdr:rowOff>
        </xdr:to>
        <xdr:sp macro="" textlink="">
          <xdr:nvSpPr>
            <xdr:cNvPr id="9732" name="Option Button 516" hidden="1">
              <a:extLst>
                <a:ext uri="{63B3BB69-23CF-44E3-9099-C40C66FF867C}">
                  <a14:compatExt spid="_x0000_s9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676</xdr:row>
          <xdr:rowOff>48986</xdr:rowOff>
        </xdr:from>
        <xdr:to>
          <xdr:col>9</xdr:col>
          <xdr:colOff>190500</xdr:colOff>
          <xdr:row>677</xdr:row>
          <xdr:rowOff>255814</xdr:rowOff>
        </xdr:to>
        <xdr:sp macro="" textlink="">
          <xdr:nvSpPr>
            <xdr:cNvPr id="9733" name="Option Button 517" hidden="1">
              <a:extLst>
                <a:ext uri="{63B3BB69-23CF-44E3-9099-C40C66FF867C}">
                  <a14:compatExt spid="_x0000_s9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678</xdr:row>
          <xdr:rowOff>48986</xdr:rowOff>
        </xdr:from>
        <xdr:to>
          <xdr:col>9</xdr:col>
          <xdr:colOff>190500</xdr:colOff>
          <xdr:row>679</xdr:row>
          <xdr:rowOff>266700</xdr:rowOff>
        </xdr:to>
        <xdr:sp macro="" textlink="">
          <xdr:nvSpPr>
            <xdr:cNvPr id="9734" name="Option Button 518" hidden="1">
              <a:extLst>
                <a:ext uri="{63B3BB69-23CF-44E3-9099-C40C66FF867C}">
                  <a14:compatExt spid="_x0000_s9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680</xdr:row>
          <xdr:rowOff>48986</xdr:rowOff>
        </xdr:from>
        <xdr:to>
          <xdr:col>9</xdr:col>
          <xdr:colOff>141514</xdr:colOff>
          <xdr:row>681</xdr:row>
          <xdr:rowOff>266700</xdr:rowOff>
        </xdr:to>
        <xdr:sp macro="" textlink="">
          <xdr:nvSpPr>
            <xdr:cNvPr id="9735" name="Option Button 519" hidden="1">
              <a:extLst>
                <a:ext uri="{63B3BB69-23CF-44E3-9099-C40C66FF867C}">
                  <a14:compatExt spid="_x0000_s9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405</xdr:row>
          <xdr:rowOff>48986</xdr:rowOff>
        </xdr:from>
        <xdr:to>
          <xdr:col>9</xdr:col>
          <xdr:colOff>201386</xdr:colOff>
          <xdr:row>406</xdr:row>
          <xdr:rowOff>239486</xdr:rowOff>
        </xdr:to>
        <xdr:sp macro="" textlink="">
          <xdr:nvSpPr>
            <xdr:cNvPr id="9736" name="Option Button 520" hidden="1">
              <a:extLst>
                <a:ext uri="{63B3BB69-23CF-44E3-9099-C40C66FF867C}">
                  <a14:compatExt spid="_x0000_s9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407</xdr:row>
          <xdr:rowOff>27214</xdr:rowOff>
        </xdr:from>
        <xdr:to>
          <xdr:col>9</xdr:col>
          <xdr:colOff>201386</xdr:colOff>
          <xdr:row>408</xdr:row>
          <xdr:rowOff>239486</xdr:rowOff>
        </xdr:to>
        <xdr:sp macro="" textlink="">
          <xdr:nvSpPr>
            <xdr:cNvPr id="9737" name="Option Button 521" hidden="1">
              <a:extLst>
                <a:ext uri="{63B3BB69-23CF-44E3-9099-C40C66FF867C}">
                  <a14:compatExt spid="_x0000_s9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409</xdr:row>
          <xdr:rowOff>38100</xdr:rowOff>
        </xdr:from>
        <xdr:to>
          <xdr:col>9</xdr:col>
          <xdr:colOff>190500</xdr:colOff>
          <xdr:row>410</xdr:row>
          <xdr:rowOff>239486</xdr:rowOff>
        </xdr:to>
        <xdr:sp macro="" textlink="">
          <xdr:nvSpPr>
            <xdr:cNvPr id="9738" name="Option Button 522" hidden="1">
              <a:extLst>
                <a:ext uri="{63B3BB69-23CF-44E3-9099-C40C66FF867C}">
                  <a14:compatExt spid="_x0000_s9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411</xdr:row>
          <xdr:rowOff>27214</xdr:rowOff>
        </xdr:from>
        <xdr:to>
          <xdr:col>9</xdr:col>
          <xdr:colOff>190500</xdr:colOff>
          <xdr:row>412</xdr:row>
          <xdr:rowOff>239486</xdr:rowOff>
        </xdr:to>
        <xdr:sp macro="" textlink="">
          <xdr:nvSpPr>
            <xdr:cNvPr id="9739" name="Option Button 523" hidden="1">
              <a:extLst>
                <a:ext uri="{63B3BB69-23CF-44E3-9099-C40C66FF867C}">
                  <a14:compatExt spid="_x0000_s9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413</xdr:row>
          <xdr:rowOff>27214</xdr:rowOff>
        </xdr:from>
        <xdr:to>
          <xdr:col>9</xdr:col>
          <xdr:colOff>152400</xdr:colOff>
          <xdr:row>414</xdr:row>
          <xdr:rowOff>239486</xdr:rowOff>
        </xdr:to>
        <xdr:sp macro="" textlink="">
          <xdr:nvSpPr>
            <xdr:cNvPr id="9740" name="Option Button 524" hidden="1">
              <a:extLst>
                <a:ext uri="{63B3BB69-23CF-44E3-9099-C40C66FF867C}">
                  <a14:compatExt spid="_x0000_s9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421</xdr:row>
          <xdr:rowOff>27214</xdr:rowOff>
        </xdr:from>
        <xdr:to>
          <xdr:col>9</xdr:col>
          <xdr:colOff>201386</xdr:colOff>
          <xdr:row>423</xdr:row>
          <xdr:rowOff>27214</xdr:rowOff>
        </xdr:to>
        <xdr:sp macro="" textlink="">
          <xdr:nvSpPr>
            <xdr:cNvPr id="9741" name="Option Button 525" hidden="1">
              <a:extLst>
                <a:ext uri="{63B3BB69-23CF-44E3-9099-C40C66FF867C}">
                  <a14:compatExt spid="_x0000_s9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423</xdr:row>
          <xdr:rowOff>27214</xdr:rowOff>
        </xdr:from>
        <xdr:to>
          <xdr:col>9</xdr:col>
          <xdr:colOff>201386</xdr:colOff>
          <xdr:row>424</xdr:row>
          <xdr:rowOff>239486</xdr:rowOff>
        </xdr:to>
        <xdr:sp macro="" textlink="">
          <xdr:nvSpPr>
            <xdr:cNvPr id="9742" name="Option Button 526" hidden="1">
              <a:extLst>
                <a:ext uri="{63B3BB69-23CF-44E3-9099-C40C66FF867C}">
                  <a14:compatExt spid="_x0000_s9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425</xdr:row>
          <xdr:rowOff>38100</xdr:rowOff>
        </xdr:from>
        <xdr:to>
          <xdr:col>9</xdr:col>
          <xdr:colOff>190500</xdr:colOff>
          <xdr:row>426</xdr:row>
          <xdr:rowOff>239486</xdr:rowOff>
        </xdr:to>
        <xdr:sp macro="" textlink="">
          <xdr:nvSpPr>
            <xdr:cNvPr id="9743" name="Option Button 527" hidden="1">
              <a:extLst>
                <a:ext uri="{63B3BB69-23CF-44E3-9099-C40C66FF867C}">
                  <a14:compatExt spid="_x0000_s9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427</xdr:row>
          <xdr:rowOff>27214</xdr:rowOff>
        </xdr:from>
        <xdr:to>
          <xdr:col>9</xdr:col>
          <xdr:colOff>190500</xdr:colOff>
          <xdr:row>428</xdr:row>
          <xdr:rowOff>239486</xdr:rowOff>
        </xdr:to>
        <xdr:sp macro="" textlink="">
          <xdr:nvSpPr>
            <xdr:cNvPr id="9744" name="Option Button 528" hidden="1">
              <a:extLst>
                <a:ext uri="{63B3BB69-23CF-44E3-9099-C40C66FF867C}">
                  <a14:compatExt spid="_x0000_s9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429</xdr:row>
          <xdr:rowOff>27214</xdr:rowOff>
        </xdr:from>
        <xdr:to>
          <xdr:col>9</xdr:col>
          <xdr:colOff>152400</xdr:colOff>
          <xdr:row>430</xdr:row>
          <xdr:rowOff>239486</xdr:rowOff>
        </xdr:to>
        <xdr:sp macro="" textlink="">
          <xdr:nvSpPr>
            <xdr:cNvPr id="9745" name="Option Button 529" hidden="1">
              <a:extLst>
                <a:ext uri="{63B3BB69-23CF-44E3-9099-C40C66FF867C}">
                  <a14:compatExt spid="_x0000_s9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437</xdr:row>
          <xdr:rowOff>27214</xdr:rowOff>
        </xdr:from>
        <xdr:to>
          <xdr:col>9</xdr:col>
          <xdr:colOff>201386</xdr:colOff>
          <xdr:row>438</xdr:row>
          <xdr:rowOff>239486</xdr:rowOff>
        </xdr:to>
        <xdr:sp macro="" textlink="">
          <xdr:nvSpPr>
            <xdr:cNvPr id="9746" name="Option Button 530" hidden="1">
              <a:extLst>
                <a:ext uri="{63B3BB69-23CF-44E3-9099-C40C66FF867C}">
                  <a14:compatExt spid="_x0000_s9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439</xdr:row>
          <xdr:rowOff>38100</xdr:rowOff>
        </xdr:from>
        <xdr:to>
          <xdr:col>9</xdr:col>
          <xdr:colOff>201386</xdr:colOff>
          <xdr:row>440</xdr:row>
          <xdr:rowOff>239486</xdr:rowOff>
        </xdr:to>
        <xdr:sp macro="" textlink="">
          <xdr:nvSpPr>
            <xdr:cNvPr id="9747" name="Option Button 531" hidden="1">
              <a:extLst>
                <a:ext uri="{63B3BB69-23CF-44E3-9099-C40C66FF867C}">
                  <a14:compatExt spid="_x0000_s9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441</xdr:row>
          <xdr:rowOff>48986</xdr:rowOff>
        </xdr:from>
        <xdr:to>
          <xdr:col>9</xdr:col>
          <xdr:colOff>190500</xdr:colOff>
          <xdr:row>442</xdr:row>
          <xdr:rowOff>255814</xdr:rowOff>
        </xdr:to>
        <xdr:sp macro="" textlink="">
          <xdr:nvSpPr>
            <xdr:cNvPr id="9748" name="Option Button 532" hidden="1">
              <a:extLst>
                <a:ext uri="{63B3BB69-23CF-44E3-9099-C40C66FF867C}">
                  <a14:compatExt spid="_x0000_s9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443</xdr:row>
          <xdr:rowOff>48986</xdr:rowOff>
        </xdr:from>
        <xdr:to>
          <xdr:col>9</xdr:col>
          <xdr:colOff>190500</xdr:colOff>
          <xdr:row>445</xdr:row>
          <xdr:rowOff>10886</xdr:rowOff>
        </xdr:to>
        <xdr:sp macro="" textlink="">
          <xdr:nvSpPr>
            <xdr:cNvPr id="9749" name="Option Button 533" hidden="1">
              <a:extLst>
                <a:ext uri="{63B3BB69-23CF-44E3-9099-C40C66FF867C}">
                  <a14:compatExt spid="_x0000_s9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445</xdr:row>
          <xdr:rowOff>27214</xdr:rowOff>
        </xdr:from>
        <xdr:to>
          <xdr:col>9</xdr:col>
          <xdr:colOff>152400</xdr:colOff>
          <xdr:row>447</xdr:row>
          <xdr:rowOff>27214</xdr:rowOff>
        </xdr:to>
        <xdr:sp macro="" textlink="">
          <xdr:nvSpPr>
            <xdr:cNvPr id="9750" name="Option Button 534" hidden="1">
              <a:extLst>
                <a:ext uri="{63B3BB69-23CF-44E3-9099-C40C66FF867C}">
                  <a14:compatExt spid="_x0000_s9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742</xdr:row>
          <xdr:rowOff>48986</xdr:rowOff>
        </xdr:from>
        <xdr:to>
          <xdr:col>9</xdr:col>
          <xdr:colOff>201386</xdr:colOff>
          <xdr:row>743</xdr:row>
          <xdr:rowOff>255814</xdr:rowOff>
        </xdr:to>
        <xdr:sp macro="" textlink="">
          <xdr:nvSpPr>
            <xdr:cNvPr id="9751" name="Option Button 535" hidden="1">
              <a:extLst>
                <a:ext uri="{63B3BB69-23CF-44E3-9099-C40C66FF867C}">
                  <a14:compatExt spid="_x0000_s9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744</xdr:row>
          <xdr:rowOff>65314</xdr:rowOff>
        </xdr:from>
        <xdr:to>
          <xdr:col>9</xdr:col>
          <xdr:colOff>201386</xdr:colOff>
          <xdr:row>745</xdr:row>
          <xdr:rowOff>277586</xdr:rowOff>
        </xdr:to>
        <xdr:sp macro="" textlink="">
          <xdr:nvSpPr>
            <xdr:cNvPr id="9752" name="Option Button 536" hidden="1">
              <a:extLst>
                <a:ext uri="{63B3BB69-23CF-44E3-9099-C40C66FF867C}">
                  <a14:compatExt spid="_x0000_s9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746</xdr:row>
          <xdr:rowOff>48986</xdr:rowOff>
        </xdr:from>
        <xdr:to>
          <xdr:col>9</xdr:col>
          <xdr:colOff>190500</xdr:colOff>
          <xdr:row>747</xdr:row>
          <xdr:rowOff>255814</xdr:rowOff>
        </xdr:to>
        <xdr:sp macro="" textlink="">
          <xdr:nvSpPr>
            <xdr:cNvPr id="9753" name="Option Button 537" hidden="1">
              <a:extLst>
                <a:ext uri="{63B3BB69-23CF-44E3-9099-C40C66FF867C}">
                  <a14:compatExt spid="_x0000_s9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748</xdr:row>
          <xdr:rowOff>48986</xdr:rowOff>
        </xdr:from>
        <xdr:to>
          <xdr:col>9</xdr:col>
          <xdr:colOff>190500</xdr:colOff>
          <xdr:row>749</xdr:row>
          <xdr:rowOff>266700</xdr:rowOff>
        </xdr:to>
        <xdr:sp macro="" textlink="">
          <xdr:nvSpPr>
            <xdr:cNvPr id="9754" name="Option Button 538" hidden="1">
              <a:extLst>
                <a:ext uri="{63B3BB69-23CF-44E3-9099-C40C66FF867C}">
                  <a14:compatExt spid="_x0000_s9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750</xdr:row>
          <xdr:rowOff>48986</xdr:rowOff>
        </xdr:from>
        <xdr:to>
          <xdr:col>9</xdr:col>
          <xdr:colOff>141514</xdr:colOff>
          <xdr:row>752</xdr:row>
          <xdr:rowOff>38100</xdr:rowOff>
        </xdr:to>
        <xdr:sp macro="" textlink="">
          <xdr:nvSpPr>
            <xdr:cNvPr id="9755" name="Option Button 539" hidden="1">
              <a:extLst>
                <a:ext uri="{63B3BB69-23CF-44E3-9099-C40C66FF867C}">
                  <a14:compatExt spid="_x0000_s9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706</xdr:row>
          <xdr:rowOff>48986</xdr:rowOff>
        </xdr:from>
        <xdr:to>
          <xdr:col>9</xdr:col>
          <xdr:colOff>190500</xdr:colOff>
          <xdr:row>707</xdr:row>
          <xdr:rowOff>266700</xdr:rowOff>
        </xdr:to>
        <xdr:sp macro="" textlink="">
          <xdr:nvSpPr>
            <xdr:cNvPr id="9756" name="Option Button 540" hidden="1">
              <a:extLst>
                <a:ext uri="{63B3BB69-23CF-44E3-9099-C40C66FF867C}">
                  <a14:compatExt spid="_x0000_s9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708</xdr:row>
          <xdr:rowOff>27214</xdr:rowOff>
        </xdr:from>
        <xdr:to>
          <xdr:col>10</xdr:col>
          <xdr:colOff>0</xdr:colOff>
          <xdr:row>709</xdr:row>
          <xdr:rowOff>255814</xdr:rowOff>
        </xdr:to>
        <xdr:sp macro="" textlink="">
          <xdr:nvSpPr>
            <xdr:cNvPr id="9757" name="Option Button 541" hidden="1">
              <a:extLst>
                <a:ext uri="{63B3BB69-23CF-44E3-9099-C40C66FF867C}">
                  <a14:compatExt spid="_x0000_s9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710</xdr:row>
          <xdr:rowOff>48986</xdr:rowOff>
        </xdr:from>
        <xdr:to>
          <xdr:col>9</xdr:col>
          <xdr:colOff>190500</xdr:colOff>
          <xdr:row>711</xdr:row>
          <xdr:rowOff>266700</xdr:rowOff>
        </xdr:to>
        <xdr:sp macro="" textlink="">
          <xdr:nvSpPr>
            <xdr:cNvPr id="9758" name="Option Button 542" hidden="1">
              <a:extLst>
                <a:ext uri="{63B3BB69-23CF-44E3-9099-C40C66FF867C}">
                  <a14:compatExt spid="_x0000_s9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712</xdr:row>
          <xdr:rowOff>48986</xdr:rowOff>
        </xdr:from>
        <xdr:to>
          <xdr:col>9</xdr:col>
          <xdr:colOff>190500</xdr:colOff>
          <xdr:row>713</xdr:row>
          <xdr:rowOff>277586</xdr:rowOff>
        </xdr:to>
        <xdr:sp macro="" textlink="">
          <xdr:nvSpPr>
            <xdr:cNvPr id="9759" name="Option Button 543" hidden="1">
              <a:extLst>
                <a:ext uri="{63B3BB69-23CF-44E3-9099-C40C66FF867C}">
                  <a14:compatExt spid="_x0000_s9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714</xdr:row>
          <xdr:rowOff>38100</xdr:rowOff>
        </xdr:from>
        <xdr:to>
          <xdr:col>9</xdr:col>
          <xdr:colOff>179614</xdr:colOff>
          <xdr:row>715</xdr:row>
          <xdr:rowOff>266700</xdr:rowOff>
        </xdr:to>
        <xdr:sp macro="" textlink="">
          <xdr:nvSpPr>
            <xdr:cNvPr id="9760" name="Option Button 544" hidden="1">
              <a:extLst>
                <a:ext uri="{63B3BB69-23CF-44E3-9099-C40C66FF867C}">
                  <a14:compatExt spid="_x0000_s9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87086</xdr:colOff>
          <xdr:row>704</xdr:row>
          <xdr:rowOff>48986</xdr:rowOff>
        </xdr:from>
        <xdr:to>
          <xdr:col>10</xdr:col>
          <xdr:colOff>27214</xdr:colOff>
          <xdr:row>706</xdr:row>
          <xdr:rowOff>38100</xdr:rowOff>
        </xdr:to>
        <xdr:sp macro="" textlink="">
          <xdr:nvSpPr>
            <xdr:cNvPr id="9761" name="Option Button 545" hidden="1">
              <a:extLst>
                <a:ext uri="{63B3BB69-23CF-44E3-9099-C40C66FF867C}">
                  <a14:compatExt spid="_x0000_s9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655</xdr:row>
          <xdr:rowOff>48986</xdr:rowOff>
        </xdr:from>
        <xdr:to>
          <xdr:col>9</xdr:col>
          <xdr:colOff>190500</xdr:colOff>
          <xdr:row>656</xdr:row>
          <xdr:rowOff>266700</xdr:rowOff>
        </xdr:to>
        <xdr:sp macro="" textlink="">
          <xdr:nvSpPr>
            <xdr:cNvPr id="9762" name="Option Button 546" hidden="1">
              <a:extLst>
                <a:ext uri="{63B3BB69-23CF-44E3-9099-C40C66FF867C}">
                  <a14:compatExt spid="_x0000_s9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657</xdr:row>
          <xdr:rowOff>27214</xdr:rowOff>
        </xdr:from>
        <xdr:to>
          <xdr:col>10</xdr:col>
          <xdr:colOff>0</xdr:colOff>
          <xdr:row>658</xdr:row>
          <xdr:rowOff>255814</xdr:rowOff>
        </xdr:to>
        <xdr:sp macro="" textlink="">
          <xdr:nvSpPr>
            <xdr:cNvPr id="9763" name="Option Button 547" hidden="1">
              <a:extLst>
                <a:ext uri="{63B3BB69-23CF-44E3-9099-C40C66FF867C}">
                  <a14:compatExt spid="_x0000_s9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659</xdr:row>
          <xdr:rowOff>48986</xdr:rowOff>
        </xdr:from>
        <xdr:to>
          <xdr:col>9</xdr:col>
          <xdr:colOff>190500</xdr:colOff>
          <xdr:row>660</xdr:row>
          <xdr:rowOff>266700</xdr:rowOff>
        </xdr:to>
        <xdr:sp macro="" textlink="">
          <xdr:nvSpPr>
            <xdr:cNvPr id="9764" name="Option Button 548" hidden="1">
              <a:extLst>
                <a:ext uri="{63B3BB69-23CF-44E3-9099-C40C66FF867C}">
                  <a14:compatExt spid="_x0000_s9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661</xdr:row>
          <xdr:rowOff>48986</xdr:rowOff>
        </xdr:from>
        <xdr:to>
          <xdr:col>9</xdr:col>
          <xdr:colOff>190500</xdr:colOff>
          <xdr:row>663</xdr:row>
          <xdr:rowOff>48986</xdr:rowOff>
        </xdr:to>
        <xdr:sp macro="" textlink="">
          <xdr:nvSpPr>
            <xdr:cNvPr id="9765" name="Option Button 549" hidden="1">
              <a:extLst>
                <a:ext uri="{63B3BB69-23CF-44E3-9099-C40C66FF867C}">
                  <a14:compatExt spid="_x0000_s9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663</xdr:row>
          <xdr:rowOff>38100</xdr:rowOff>
        </xdr:from>
        <xdr:to>
          <xdr:col>9</xdr:col>
          <xdr:colOff>179614</xdr:colOff>
          <xdr:row>665</xdr:row>
          <xdr:rowOff>48986</xdr:rowOff>
        </xdr:to>
        <xdr:sp macro="" textlink="">
          <xdr:nvSpPr>
            <xdr:cNvPr id="9766" name="Option Button 550" hidden="1">
              <a:extLst>
                <a:ext uri="{63B3BB69-23CF-44E3-9099-C40C66FF867C}">
                  <a14:compatExt spid="_x0000_s9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653</xdr:row>
          <xdr:rowOff>48986</xdr:rowOff>
        </xdr:from>
        <xdr:to>
          <xdr:col>10</xdr:col>
          <xdr:colOff>10886</xdr:colOff>
          <xdr:row>655</xdr:row>
          <xdr:rowOff>38100</xdr:rowOff>
        </xdr:to>
        <xdr:sp macro="" textlink="">
          <xdr:nvSpPr>
            <xdr:cNvPr id="9767" name="Option Button 551" hidden="1">
              <a:extLst>
                <a:ext uri="{63B3BB69-23CF-44E3-9099-C40C66FF867C}">
                  <a14:compatExt spid="_x0000_s9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610</xdr:row>
          <xdr:rowOff>48986</xdr:rowOff>
        </xdr:from>
        <xdr:to>
          <xdr:col>9</xdr:col>
          <xdr:colOff>190500</xdr:colOff>
          <xdr:row>611</xdr:row>
          <xdr:rowOff>266700</xdr:rowOff>
        </xdr:to>
        <xdr:sp macro="" textlink="">
          <xdr:nvSpPr>
            <xdr:cNvPr id="9774" name="Option Button 558" hidden="1">
              <a:extLst>
                <a:ext uri="{63B3BB69-23CF-44E3-9099-C40C66FF867C}">
                  <a14:compatExt spid="_x0000_s97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612</xdr:row>
          <xdr:rowOff>38100</xdr:rowOff>
        </xdr:from>
        <xdr:to>
          <xdr:col>10</xdr:col>
          <xdr:colOff>0</xdr:colOff>
          <xdr:row>613</xdr:row>
          <xdr:rowOff>266700</xdr:rowOff>
        </xdr:to>
        <xdr:sp macro="" textlink="">
          <xdr:nvSpPr>
            <xdr:cNvPr id="9775" name="Option Button 559" hidden="1">
              <a:extLst>
                <a:ext uri="{63B3BB69-23CF-44E3-9099-C40C66FF867C}">
                  <a14:compatExt spid="_x0000_s97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614</xdr:row>
          <xdr:rowOff>38100</xdr:rowOff>
        </xdr:from>
        <xdr:to>
          <xdr:col>9</xdr:col>
          <xdr:colOff>190500</xdr:colOff>
          <xdr:row>615</xdr:row>
          <xdr:rowOff>255814</xdr:rowOff>
        </xdr:to>
        <xdr:sp macro="" textlink="">
          <xdr:nvSpPr>
            <xdr:cNvPr id="9776" name="Option Button 560" hidden="1">
              <a:extLst>
                <a:ext uri="{63B3BB69-23CF-44E3-9099-C40C66FF867C}">
                  <a14:compatExt spid="_x0000_s97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619</xdr:row>
          <xdr:rowOff>27214</xdr:rowOff>
        </xdr:from>
        <xdr:to>
          <xdr:col>9</xdr:col>
          <xdr:colOff>190500</xdr:colOff>
          <xdr:row>620</xdr:row>
          <xdr:rowOff>255814</xdr:rowOff>
        </xdr:to>
        <xdr:sp macro="" textlink="">
          <xdr:nvSpPr>
            <xdr:cNvPr id="9777" name="Option Button 561" hidden="1">
              <a:extLst>
                <a:ext uri="{63B3BB69-23CF-44E3-9099-C40C66FF867C}">
                  <a14:compatExt spid="_x0000_s97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623</xdr:row>
          <xdr:rowOff>38100</xdr:rowOff>
        </xdr:from>
        <xdr:to>
          <xdr:col>9</xdr:col>
          <xdr:colOff>179614</xdr:colOff>
          <xdr:row>624</xdr:row>
          <xdr:rowOff>266700</xdr:rowOff>
        </xdr:to>
        <xdr:sp macro="" textlink="">
          <xdr:nvSpPr>
            <xdr:cNvPr id="9778" name="Option Button 562" hidden="1">
              <a:extLst>
                <a:ext uri="{63B3BB69-23CF-44E3-9099-C40C66FF867C}">
                  <a14:compatExt spid="_x0000_s97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608</xdr:row>
          <xdr:rowOff>48986</xdr:rowOff>
        </xdr:from>
        <xdr:to>
          <xdr:col>10</xdr:col>
          <xdr:colOff>10886</xdr:colOff>
          <xdr:row>610</xdr:row>
          <xdr:rowOff>38100</xdr:rowOff>
        </xdr:to>
        <xdr:sp macro="" textlink="">
          <xdr:nvSpPr>
            <xdr:cNvPr id="9779" name="Option Button 563" hidden="1">
              <a:extLst>
                <a:ext uri="{63B3BB69-23CF-44E3-9099-C40C66FF867C}">
                  <a14:compatExt spid="_x0000_s97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726</xdr:row>
          <xdr:rowOff>0</xdr:rowOff>
        </xdr:from>
        <xdr:to>
          <xdr:col>10</xdr:col>
          <xdr:colOff>0</xdr:colOff>
          <xdr:row>726</xdr:row>
          <xdr:rowOff>293914</xdr:rowOff>
        </xdr:to>
        <xdr:sp macro="" textlink="">
          <xdr:nvSpPr>
            <xdr:cNvPr id="9780" name="Option Button 564" hidden="1">
              <a:extLst>
                <a:ext uri="{63B3BB69-23CF-44E3-9099-C40C66FF867C}">
                  <a14:compatExt spid="_x0000_s9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727</xdr:row>
          <xdr:rowOff>48986</xdr:rowOff>
        </xdr:from>
        <xdr:to>
          <xdr:col>10</xdr:col>
          <xdr:colOff>48986</xdr:colOff>
          <xdr:row>728</xdr:row>
          <xdr:rowOff>277586</xdr:rowOff>
        </xdr:to>
        <xdr:sp macro="" textlink="">
          <xdr:nvSpPr>
            <xdr:cNvPr id="9781" name="Option Button 565" hidden="1">
              <a:extLst>
                <a:ext uri="{63B3BB69-23CF-44E3-9099-C40C66FF867C}">
                  <a14:compatExt spid="_x0000_s9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728</xdr:row>
          <xdr:rowOff>1828800</xdr:rowOff>
        </xdr:from>
        <xdr:to>
          <xdr:col>9</xdr:col>
          <xdr:colOff>190500</xdr:colOff>
          <xdr:row>729</xdr:row>
          <xdr:rowOff>266700</xdr:rowOff>
        </xdr:to>
        <xdr:sp macro="" textlink="">
          <xdr:nvSpPr>
            <xdr:cNvPr id="9782" name="Option Button 566" hidden="1">
              <a:extLst>
                <a:ext uri="{63B3BB69-23CF-44E3-9099-C40C66FF867C}">
                  <a14:compatExt spid="_x0000_s9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730</xdr:row>
          <xdr:rowOff>38100</xdr:rowOff>
        </xdr:from>
        <xdr:to>
          <xdr:col>9</xdr:col>
          <xdr:colOff>141514</xdr:colOff>
          <xdr:row>732</xdr:row>
          <xdr:rowOff>38100</xdr:rowOff>
        </xdr:to>
        <xdr:sp macro="" textlink="">
          <xdr:nvSpPr>
            <xdr:cNvPr id="9783" name="Option Button 567" hidden="1">
              <a:extLst>
                <a:ext uri="{63B3BB69-23CF-44E3-9099-C40C66FF867C}">
                  <a14:compatExt spid="_x0000_s9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732</xdr:row>
          <xdr:rowOff>38100</xdr:rowOff>
        </xdr:from>
        <xdr:to>
          <xdr:col>9</xdr:col>
          <xdr:colOff>201386</xdr:colOff>
          <xdr:row>734</xdr:row>
          <xdr:rowOff>38100</xdr:rowOff>
        </xdr:to>
        <xdr:sp macro="" textlink="">
          <xdr:nvSpPr>
            <xdr:cNvPr id="9784" name="Option Button 568" hidden="1">
              <a:extLst>
                <a:ext uri="{63B3BB69-23CF-44E3-9099-C40C66FF867C}">
                  <a14:compatExt spid="_x0000_s97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728</xdr:row>
          <xdr:rowOff>990600</xdr:rowOff>
        </xdr:from>
        <xdr:to>
          <xdr:col>9</xdr:col>
          <xdr:colOff>190500</xdr:colOff>
          <xdr:row>728</xdr:row>
          <xdr:rowOff>1268186</xdr:rowOff>
        </xdr:to>
        <xdr:sp macro="" textlink="">
          <xdr:nvSpPr>
            <xdr:cNvPr id="9785" name="Option Button 569" hidden="1">
              <a:extLst>
                <a:ext uri="{63B3BB69-23CF-44E3-9099-C40C66FF867C}">
                  <a14:compatExt spid="_x0000_s97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729</xdr:row>
          <xdr:rowOff>381000</xdr:rowOff>
        </xdr:from>
        <xdr:to>
          <xdr:col>9</xdr:col>
          <xdr:colOff>65314</xdr:colOff>
          <xdr:row>729</xdr:row>
          <xdr:rowOff>674914</xdr:rowOff>
        </xdr:to>
        <xdr:sp macro="" textlink="">
          <xdr:nvSpPr>
            <xdr:cNvPr id="9786" name="Option Button 570" hidden="1">
              <a:extLst>
                <a:ext uri="{63B3BB69-23CF-44E3-9099-C40C66FF867C}">
                  <a14:compatExt spid="_x0000_s97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734</xdr:row>
          <xdr:rowOff>87086</xdr:rowOff>
        </xdr:from>
        <xdr:to>
          <xdr:col>8</xdr:col>
          <xdr:colOff>190500</xdr:colOff>
          <xdr:row>736</xdr:row>
          <xdr:rowOff>10886</xdr:rowOff>
        </xdr:to>
        <xdr:sp macro="" textlink="">
          <xdr:nvSpPr>
            <xdr:cNvPr id="9787" name="Check Box 571" hidden="1">
              <a:extLst>
                <a:ext uri="{63B3BB69-23CF-44E3-9099-C40C66FF867C}">
                  <a14:compatExt spid="_x0000_s97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EXPLANATORY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304</xdr:row>
          <xdr:rowOff>114300</xdr:rowOff>
        </xdr:from>
        <xdr:to>
          <xdr:col>7</xdr:col>
          <xdr:colOff>163286</xdr:colOff>
          <xdr:row>306</xdr:row>
          <xdr:rowOff>48986</xdr:rowOff>
        </xdr:to>
        <xdr:sp macro="" textlink="">
          <xdr:nvSpPr>
            <xdr:cNvPr id="9811" name="Option Button 595" hidden="1">
              <a:extLst>
                <a:ext uri="{63B3BB69-23CF-44E3-9099-C40C66FF867C}">
                  <a14:compatExt spid="_x0000_s98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103414</xdr:colOff>
          <xdr:row>304</xdr:row>
          <xdr:rowOff>114300</xdr:rowOff>
        </xdr:from>
        <xdr:to>
          <xdr:col>9</xdr:col>
          <xdr:colOff>76200</xdr:colOff>
          <xdr:row>306</xdr:row>
          <xdr:rowOff>48986</xdr:rowOff>
        </xdr:to>
        <xdr:sp macro="" textlink="">
          <xdr:nvSpPr>
            <xdr:cNvPr id="9812" name="Option Button 596" hidden="1">
              <a:extLst>
                <a:ext uri="{63B3BB69-23CF-44E3-9099-C40C66FF867C}">
                  <a14:compatExt spid="_x0000_s98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298</xdr:row>
          <xdr:rowOff>27214</xdr:rowOff>
        </xdr:from>
        <xdr:to>
          <xdr:col>10</xdr:col>
          <xdr:colOff>201386</xdr:colOff>
          <xdr:row>300</xdr:row>
          <xdr:rowOff>76200</xdr:rowOff>
        </xdr:to>
        <xdr:sp macro="" textlink="">
          <xdr:nvSpPr>
            <xdr:cNvPr id="9818" name="Group Box 602" hidden="1">
              <a:extLst>
                <a:ext uri="{63B3BB69-23CF-44E3-9099-C40C66FF867C}">
                  <a14:compatExt spid="_x0000_s98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302</xdr:row>
          <xdr:rowOff>76200</xdr:rowOff>
        </xdr:from>
        <xdr:to>
          <xdr:col>10</xdr:col>
          <xdr:colOff>190500</xdr:colOff>
          <xdr:row>304</xdr:row>
          <xdr:rowOff>48986</xdr:rowOff>
        </xdr:to>
        <xdr:sp macro="" textlink="">
          <xdr:nvSpPr>
            <xdr:cNvPr id="9820" name="Group Box 604" hidden="1">
              <a:extLst>
                <a:ext uri="{63B3BB69-23CF-44E3-9099-C40C66FF867C}">
                  <a14:compatExt spid="_x0000_s9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304</xdr:row>
          <xdr:rowOff>48986</xdr:rowOff>
        </xdr:from>
        <xdr:to>
          <xdr:col>10</xdr:col>
          <xdr:colOff>190500</xdr:colOff>
          <xdr:row>307</xdr:row>
          <xdr:rowOff>0</xdr:rowOff>
        </xdr:to>
        <xdr:sp macro="" textlink="">
          <xdr:nvSpPr>
            <xdr:cNvPr id="9821" name="Group Box 605" hidden="1">
              <a:extLst>
                <a:ext uri="{63B3BB69-23CF-44E3-9099-C40C66FF867C}">
                  <a14:compatExt spid="_x0000_s98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300</xdr:row>
          <xdr:rowOff>76200</xdr:rowOff>
        </xdr:from>
        <xdr:to>
          <xdr:col>10</xdr:col>
          <xdr:colOff>201386</xdr:colOff>
          <xdr:row>302</xdr:row>
          <xdr:rowOff>76200</xdr:rowOff>
        </xdr:to>
        <xdr:sp macro="" textlink="">
          <xdr:nvSpPr>
            <xdr:cNvPr id="9822" name="Group Box 606" hidden="1">
              <a:extLst>
                <a:ext uri="{63B3BB69-23CF-44E3-9099-C40C66FF867C}">
                  <a14:compatExt spid="_x0000_s9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179614</xdr:colOff>
          <xdr:row>320</xdr:row>
          <xdr:rowOff>76200</xdr:rowOff>
        </xdr:from>
        <xdr:to>
          <xdr:col>7</xdr:col>
          <xdr:colOff>152400</xdr:colOff>
          <xdr:row>322</xdr:row>
          <xdr:rowOff>38100</xdr:rowOff>
        </xdr:to>
        <xdr:sp macro="" textlink="">
          <xdr:nvSpPr>
            <xdr:cNvPr id="9823" name="Option Button 607" hidden="1">
              <a:extLst>
                <a:ext uri="{63B3BB69-23CF-44E3-9099-C40C66FF867C}">
                  <a14:compatExt spid="_x0000_s9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320</xdr:row>
          <xdr:rowOff>76200</xdr:rowOff>
        </xdr:from>
        <xdr:to>
          <xdr:col>9</xdr:col>
          <xdr:colOff>48986</xdr:colOff>
          <xdr:row>322</xdr:row>
          <xdr:rowOff>38100</xdr:rowOff>
        </xdr:to>
        <xdr:sp macro="" textlink="">
          <xdr:nvSpPr>
            <xdr:cNvPr id="9824" name="Option Button 608" hidden="1">
              <a:extLst>
                <a:ext uri="{63B3BB69-23CF-44E3-9099-C40C66FF867C}">
                  <a14:compatExt spid="_x0000_s98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10886</xdr:colOff>
          <xdr:row>320</xdr:row>
          <xdr:rowOff>65314</xdr:rowOff>
        </xdr:from>
        <xdr:to>
          <xdr:col>10</xdr:col>
          <xdr:colOff>190500</xdr:colOff>
          <xdr:row>322</xdr:row>
          <xdr:rowOff>65314</xdr:rowOff>
        </xdr:to>
        <xdr:sp macro="" textlink="">
          <xdr:nvSpPr>
            <xdr:cNvPr id="9825" name="Group Box 609" hidden="1">
              <a:extLst>
                <a:ext uri="{63B3BB69-23CF-44E3-9099-C40C66FF867C}">
                  <a14:compatExt spid="_x0000_s98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373</xdr:row>
          <xdr:rowOff>48986</xdr:rowOff>
        </xdr:from>
        <xdr:to>
          <xdr:col>9</xdr:col>
          <xdr:colOff>201386</xdr:colOff>
          <xdr:row>374</xdr:row>
          <xdr:rowOff>266700</xdr:rowOff>
        </xdr:to>
        <xdr:sp macro="" textlink="">
          <xdr:nvSpPr>
            <xdr:cNvPr id="9828" name="Option Button 612" hidden="1">
              <a:extLst>
                <a:ext uri="{63B3BB69-23CF-44E3-9099-C40C66FF867C}">
                  <a14:compatExt spid="_x0000_s9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375</xdr:row>
          <xdr:rowOff>65314</xdr:rowOff>
        </xdr:from>
        <xdr:to>
          <xdr:col>9</xdr:col>
          <xdr:colOff>201386</xdr:colOff>
          <xdr:row>376</xdr:row>
          <xdr:rowOff>277586</xdr:rowOff>
        </xdr:to>
        <xdr:sp macro="" textlink="">
          <xdr:nvSpPr>
            <xdr:cNvPr id="9829" name="Option Button 613" hidden="1">
              <a:extLst>
                <a:ext uri="{63B3BB69-23CF-44E3-9099-C40C66FF867C}">
                  <a14:compatExt spid="_x0000_s98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377</xdr:row>
          <xdr:rowOff>48986</xdr:rowOff>
        </xdr:from>
        <xdr:to>
          <xdr:col>9</xdr:col>
          <xdr:colOff>190500</xdr:colOff>
          <xdr:row>378</xdr:row>
          <xdr:rowOff>255814</xdr:rowOff>
        </xdr:to>
        <xdr:sp macro="" textlink="">
          <xdr:nvSpPr>
            <xdr:cNvPr id="9830" name="Option Button 614" hidden="1">
              <a:extLst>
                <a:ext uri="{63B3BB69-23CF-44E3-9099-C40C66FF867C}">
                  <a14:compatExt spid="_x0000_s98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379</xdr:row>
          <xdr:rowOff>48986</xdr:rowOff>
        </xdr:from>
        <xdr:to>
          <xdr:col>9</xdr:col>
          <xdr:colOff>190500</xdr:colOff>
          <xdr:row>380</xdr:row>
          <xdr:rowOff>266700</xdr:rowOff>
        </xdr:to>
        <xdr:sp macro="" textlink="">
          <xdr:nvSpPr>
            <xdr:cNvPr id="9831" name="Option Button 615" hidden="1">
              <a:extLst>
                <a:ext uri="{63B3BB69-23CF-44E3-9099-C40C66FF867C}">
                  <a14:compatExt spid="_x0000_s9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381</xdr:row>
          <xdr:rowOff>48986</xdr:rowOff>
        </xdr:from>
        <xdr:to>
          <xdr:col>9</xdr:col>
          <xdr:colOff>152400</xdr:colOff>
          <xdr:row>383</xdr:row>
          <xdr:rowOff>48986</xdr:rowOff>
        </xdr:to>
        <xdr:sp macro="" textlink="">
          <xdr:nvSpPr>
            <xdr:cNvPr id="9832" name="Option Button 616" hidden="1">
              <a:extLst>
                <a:ext uri="{63B3BB69-23CF-44E3-9099-C40C66FF867C}">
                  <a14:compatExt spid="_x0000_s9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201386</xdr:colOff>
          <xdr:row>421</xdr:row>
          <xdr:rowOff>0</xdr:rowOff>
        </xdr:from>
        <xdr:to>
          <xdr:col>10</xdr:col>
          <xdr:colOff>76200</xdr:colOff>
          <xdr:row>432</xdr:row>
          <xdr:rowOff>0</xdr:rowOff>
        </xdr:to>
        <xdr:sp macro="" textlink="">
          <xdr:nvSpPr>
            <xdr:cNvPr id="9836" name="Group Box 620" hidden="1">
              <a:extLst>
                <a:ext uri="{63B3BB69-23CF-44E3-9099-C40C66FF867C}">
                  <a14:compatExt spid="_x0000_s9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10886</xdr:colOff>
          <xdr:row>436</xdr:row>
          <xdr:rowOff>190500</xdr:rowOff>
        </xdr:from>
        <xdr:to>
          <xdr:col>10</xdr:col>
          <xdr:colOff>87086</xdr:colOff>
          <xdr:row>448</xdr:row>
          <xdr:rowOff>0</xdr:rowOff>
        </xdr:to>
        <xdr:sp macro="" textlink="">
          <xdr:nvSpPr>
            <xdr:cNvPr id="9837" name="Group Box 621" hidden="1">
              <a:extLst>
                <a:ext uri="{63B3BB69-23CF-44E3-9099-C40C66FF867C}">
                  <a14:compatExt spid="_x0000_s98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201386</xdr:colOff>
          <xdr:row>526</xdr:row>
          <xdr:rowOff>239486</xdr:rowOff>
        </xdr:from>
        <xdr:to>
          <xdr:col>10</xdr:col>
          <xdr:colOff>125186</xdr:colOff>
          <xdr:row>538</xdr:row>
          <xdr:rowOff>0</xdr:rowOff>
        </xdr:to>
        <xdr:sp macro="" textlink="">
          <xdr:nvSpPr>
            <xdr:cNvPr id="9838" name="Group Box 622" hidden="1">
              <a:extLst>
                <a:ext uri="{63B3BB69-23CF-44E3-9099-C40C66FF867C}">
                  <a14:compatExt spid="_x0000_s98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10886</xdr:colOff>
          <xdr:row>543</xdr:row>
          <xdr:rowOff>0</xdr:rowOff>
        </xdr:from>
        <xdr:to>
          <xdr:col>10</xdr:col>
          <xdr:colOff>103414</xdr:colOff>
          <xdr:row>554</xdr:row>
          <xdr:rowOff>0</xdr:rowOff>
        </xdr:to>
        <xdr:sp macro="" textlink="">
          <xdr:nvSpPr>
            <xdr:cNvPr id="9839" name="Group Box 623" hidden="1">
              <a:extLst>
                <a:ext uri="{63B3BB69-23CF-44E3-9099-C40C66FF867C}">
                  <a14:compatExt spid="_x0000_s98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201386</xdr:colOff>
          <xdr:row>559</xdr:row>
          <xdr:rowOff>0</xdr:rowOff>
        </xdr:from>
        <xdr:to>
          <xdr:col>10</xdr:col>
          <xdr:colOff>114300</xdr:colOff>
          <xdr:row>570</xdr:row>
          <xdr:rowOff>0</xdr:rowOff>
        </xdr:to>
        <xdr:sp macro="" textlink="">
          <xdr:nvSpPr>
            <xdr:cNvPr id="9840" name="Group Box 624" hidden="1">
              <a:extLst>
                <a:ext uri="{63B3BB69-23CF-44E3-9099-C40C66FF867C}">
                  <a14:compatExt spid="_x0000_s9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575</xdr:row>
          <xdr:rowOff>0</xdr:rowOff>
        </xdr:from>
        <xdr:to>
          <xdr:col>10</xdr:col>
          <xdr:colOff>114300</xdr:colOff>
          <xdr:row>587</xdr:row>
          <xdr:rowOff>0</xdr:rowOff>
        </xdr:to>
        <xdr:sp macro="" textlink="">
          <xdr:nvSpPr>
            <xdr:cNvPr id="9841" name="Group Box 625" hidden="1">
              <a:extLst>
                <a:ext uri="{63B3BB69-23CF-44E3-9099-C40C66FF867C}">
                  <a14:compatExt spid="_x0000_s98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27214</xdr:colOff>
          <xdr:row>592</xdr:row>
          <xdr:rowOff>0</xdr:rowOff>
        </xdr:from>
        <xdr:to>
          <xdr:col>10</xdr:col>
          <xdr:colOff>125186</xdr:colOff>
          <xdr:row>603</xdr:row>
          <xdr:rowOff>0</xdr:rowOff>
        </xdr:to>
        <xdr:sp macro="" textlink="">
          <xdr:nvSpPr>
            <xdr:cNvPr id="9842" name="Group Box 626" hidden="1">
              <a:extLst>
                <a:ext uri="{63B3BB69-23CF-44E3-9099-C40C66FF867C}">
                  <a14:compatExt spid="_x0000_s98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10886</xdr:colOff>
          <xdr:row>389</xdr:row>
          <xdr:rowOff>0</xdr:rowOff>
        </xdr:from>
        <xdr:to>
          <xdr:col>10</xdr:col>
          <xdr:colOff>114300</xdr:colOff>
          <xdr:row>400</xdr:row>
          <xdr:rowOff>0</xdr:rowOff>
        </xdr:to>
        <xdr:sp macro="" textlink="">
          <xdr:nvSpPr>
            <xdr:cNvPr id="9843" name="Group Box 627" hidden="1">
              <a:extLst>
                <a:ext uri="{63B3BB69-23CF-44E3-9099-C40C66FF867C}">
                  <a14:compatExt spid="_x0000_s98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10886</xdr:colOff>
          <xdr:row>608</xdr:row>
          <xdr:rowOff>0</xdr:rowOff>
        </xdr:from>
        <xdr:to>
          <xdr:col>10</xdr:col>
          <xdr:colOff>114300</xdr:colOff>
          <xdr:row>626</xdr:row>
          <xdr:rowOff>0</xdr:rowOff>
        </xdr:to>
        <xdr:sp macro="" textlink="">
          <xdr:nvSpPr>
            <xdr:cNvPr id="9844" name="Group Box 628" hidden="1">
              <a:extLst>
                <a:ext uri="{63B3BB69-23CF-44E3-9099-C40C66FF867C}">
                  <a14:compatExt spid="_x0000_s9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724</xdr:row>
          <xdr:rowOff>239486</xdr:rowOff>
        </xdr:from>
        <xdr:to>
          <xdr:col>10</xdr:col>
          <xdr:colOff>114300</xdr:colOff>
          <xdr:row>734</xdr:row>
          <xdr:rowOff>87086</xdr:rowOff>
        </xdr:to>
        <xdr:sp macro="" textlink="">
          <xdr:nvSpPr>
            <xdr:cNvPr id="9851" name="Group Box 635" hidden="1">
              <a:extLst>
                <a:ext uri="{63B3BB69-23CF-44E3-9099-C40C66FF867C}">
                  <a14:compatExt spid="_x0000_s9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742</xdr:row>
          <xdr:rowOff>0</xdr:rowOff>
        </xdr:from>
        <xdr:to>
          <xdr:col>10</xdr:col>
          <xdr:colOff>114300</xdr:colOff>
          <xdr:row>753</xdr:row>
          <xdr:rowOff>0</xdr:rowOff>
        </xdr:to>
        <xdr:sp macro="" textlink="">
          <xdr:nvSpPr>
            <xdr:cNvPr id="9852" name="Group Box 636" hidden="1">
              <a:extLst>
                <a:ext uri="{63B3BB69-23CF-44E3-9099-C40C66FF867C}">
                  <a14:compatExt spid="_x0000_s9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10886</xdr:colOff>
          <xdr:row>373</xdr:row>
          <xdr:rowOff>10886</xdr:rowOff>
        </xdr:from>
        <xdr:to>
          <xdr:col>10</xdr:col>
          <xdr:colOff>125186</xdr:colOff>
          <xdr:row>383</xdr:row>
          <xdr:rowOff>65314</xdr:rowOff>
        </xdr:to>
        <xdr:sp macro="" textlink="">
          <xdr:nvSpPr>
            <xdr:cNvPr id="9854" name="Group Box 638" hidden="1">
              <a:extLst>
                <a:ext uri="{63B3BB69-23CF-44E3-9099-C40C66FF867C}">
                  <a14:compatExt spid="_x0000_s98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637</xdr:row>
          <xdr:rowOff>38100</xdr:rowOff>
        </xdr:from>
        <xdr:to>
          <xdr:col>9</xdr:col>
          <xdr:colOff>190500</xdr:colOff>
          <xdr:row>638</xdr:row>
          <xdr:rowOff>239486</xdr:rowOff>
        </xdr:to>
        <xdr:sp macro="" textlink="">
          <xdr:nvSpPr>
            <xdr:cNvPr id="9858" name="Option Button 642" hidden="1">
              <a:extLst>
                <a:ext uri="{63B3BB69-23CF-44E3-9099-C40C66FF867C}">
                  <a14:compatExt spid="_x0000_s98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639</xdr:row>
          <xdr:rowOff>48986</xdr:rowOff>
        </xdr:from>
        <xdr:to>
          <xdr:col>9</xdr:col>
          <xdr:colOff>190500</xdr:colOff>
          <xdr:row>640</xdr:row>
          <xdr:rowOff>255814</xdr:rowOff>
        </xdr:to>
        <xdr:sp macro="" textlink="">
          <xdr:nvSpPr>
            <xdr:cNvPr id="9859" name="Option Button 643" hidden="1">
              <a:extLst>
                <a:ext uri="{63B3BB69-23CF-44E3-9099-C40C66FF867C}">
                  <a14:compatExt spid="_x0000_s98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641</xdr:row>
          <xdr:rowOff>48986</xdr:rowOff>
        </xdr:from>
        <xdr:to>
          <xdr:col>9</xdr:col>
          <xdr:colOff>190500</xdr:colOff>
          <xdr:row>642</xdr:row>
          <xdr:rowOff>255814</xdr:rowOff>
        </xdr:to>
        <xdr:sp macro="" textlink="">
          <xdr:nvSpPr>
            <xdr:cNvPr id="9860" name="Option Button 644" hidden="1">
              <a:extLst>
                <a:ext uri="{63B3BB69-23CF-44E3-9099-C40C66FF867C}">
                  <a14:compatExt spid="_x0000_s98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65314</xdr:colOff>
          <xdr:row>643</xdr:row>
          <xdr:rowOff>48986</xdr:rowOff>
        </xdr:from>
        <xdr:to>
          <xdr:col>9</xdr:col>
          <xdr:colOff>179614</xdr:colOff>
          <xdr:row>644</xdr:row>
          <xdr:rowOff>255814</xdr:rowOff>
        </xdr:to>
        <xdr:sp macro="" textlink="">
          <xdr:nvSpPr>
            <xdr:cNvPr id="9861" name="Option Button 645" hidden="1">
              <a:extLst>
                <a:ext uri="{63B3BB69-23CF-44E3-9099-C40C66FF867C}">
                  <a14:compatExt spid="_x0000_s98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645</xdr:row>
          <xdr:rowOff>48986</xdr:rowOff>
        </xdr:from>
        <xdr:to>
          <xdr:col>9</xdr:col>
          <xdr:colOff>190500</xdr:colOff>
          <xdr:row>646</xdr:row>
          <xdr:rowOff>255814</xdr:rowOff>
        </xdr:to>
        <xdr:sp macro="" textlink="">
          <xdr:nvSpPr>
            <xdr:cNvPr id="9862" name="Option Button 646" hidden="1">
              <a:extLst>
                <a:ext uri="{63B3BB69-23CF-44E3-9099-C40C66FF867C}">
                  <a14:compatExt spid="_x0000_s98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635</xdr:row>
          <xdr:rowOff>27214</xdr:rowOff>
        </xdr:from>
        <xdr:to>
          <xdr:col>9</xdr:col>
          <xdr:colOff>190500</xdr:colOff>
          <xdr:row>637</xdr:row>
          <xdr:rowOff>10886</xdr:rowOff>
        </xdr:to>
        <xdr:sp macro="" textlink="">
          <xdr:nvSpPr>
            <xdr:cNvPr id="9863" name="Option Button 647" hidden="1">
              <a:extLst>
                <a:ext uri="{63B3BB69-23CF-44E3-9099-C40C66FF867C}">
                  <a14:compatExt spid="_x0000_s98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635</xdr:row>
          <xdr:rowOff>0</xdr:rowOff>
        </xdr:from>
        <xdr:to>
          <xdr:col>10</xdr:col>
          <xdr:colOff>103414</xdr:colOff>
          <xdr:row>647</xdr:row>
          <xdr:rowOff>48986</xdr:rowOff>
        </xdr:to>
        <xdr:sp macro="" textlink="">
          <xdr:nvSpPr>
            <xdr:cNvPr id="9879" name="Group Box 663" hidden="1">
              <a:extLst>
                <a:ext uri="{63B3BB69-23CF-44E3-9099-C40C66FF867C}">
                  <a14:compatExt spid="_x0000_s98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201386</xdr:colOff>
          <xdr:row>653</xdr:row>
          <xdr:rowOff>0</xdr:rowOff>
        </xdr:from>
        <xdr:to>
          <xdr:col>10</xdr:col>
          <xdr:colOff>125186</xdr:colOff>
          <xdr:row>666</xdr:row>
          <xdr:rowOff>0</xdr:rowOff>
        </xdr:to>
        <xdr:sp macro="" textlink="">
          <xdr:nvSpPr>
            <xdr:cNvPr id="9880" name="Group Box 664" hidden="1">
              <a:extLst>
                <a:ext uri="{63B3BB69-23CF-44E3-9099-C40C66FF867C}">
                  <a14:compatExt spid="_x0000_s9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201386</xdr:colOff>
          <xdr:row>672</xdr:row>
          <xdr:rowOff>10886</xdr:rowOff>
        </xdr:from>
        <xdr:to>
          <xdr:col>10</xdr:col>
          <xdr:colOff>125186</xdr:colOff>
          <xdr:row>681</xdr:row>
          <xdr:rowOff>332014</xdr:rowOff>
        </xdr:to>
        <xdr:sp macro="" textlink="">
          <xdr:nvSpPr>
            <xdr:cNvPr id="9881" name="Group Box 665" hidden="1">
              <a:extLst>
                <a:ext uri="{63B3BB69-23CF-44E3-9099-C40C66FF867C}">
                  <a14:compatExt spid="_x0000_s98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687</xdr:row>
          <xdr:rowOff>239486</xdr:rowOff>
        </xdr:from>
        <xdr:to>
          <xdr:col>10</xdr:col>
          <xdr:colOff>125186</xdr:colOff>
          <xdr:row>698</xdr:row>
          <xdr:rowOff>48986</xdr:rowOff>
        </xdr:to>
        <xdr:sp macro="" textlink="">
          <xdr:nvSpPr>
            <xdr:cNvPr id="9882" name="Group Box 666" hidden="1">
              <a:extLst>
                <a:ext uri="{63B3BB69-23CF-44E3-9099-C40C66FF867C}">
                  <a14:compatExt spid="_x0000_s98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201386</xdr:colOff>
          <xdr:row>704</xdr:row>
          <xdr:rowOff>0</xdr:rowOff>
        </xdr:from>
        <xdr:to>
          <xdr:col>10</xdr:col>
          <xdr:colOff>141514</xdr:colOff>
          <xdr:row>717</xdr:row>
          <xdr:rowOff>0</xdr:rowOff>
        </xdr:to>
        <xdr:sp macro="" textlink="">
          <xdr:nvSpPr>
            <xdr:cNvPr id="9883" name="Group Box 667" hidden="1">
              <a:extLst>
                <a:ext uri="{63B3BB69-23CF-44E3-9099-C40C66FF867C}">
                  <a14:compatExt spid="_x0000_s98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312</xdr:row>
          <xdr:rowOff>38100</xdr:rowOff>
        </xdr:from>
        <xdr:to>
          <xdr:col>28</xdr:col>
          <xdr:colOff>152400</xdr:colOff>
          <xdr:row>314</xdr:row>
          <xdr:rowOff>38100</xdr:rowOff>
        </xdr:to>
        <xdr:sp macro="" textlink="">
          <xdr:nvSpPr>
            <xdr:cNvPr id="9909" name="Check Box 693" hidden="1">
              <a:extLst>
                <a:ext uri="{63B3BB69-23CF-44E3-9099-C40C66FF867C}">
                  <a14:compatExt spid="_x0000_s99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 OTHER ARCHERY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405</xdr:row>
          <xdr:rowOff>0</xdr:rowOff>
        </xdr:from>
        <xdr:to>
          <xdr:col>10</xdr:col>
          <xdr:colOff>87086</xdr:colOff>
          <xdr:row>415</xdr:row>
          <xdr:rowOff>65314</xdr:rowOff>
        </xdr:to>
        <xdr:sp macro="" textlink="">
          <xdr:nvSpPr>
            <xdr:cNvPr id="9919" name="Group Box 703" hidden="1">
              <a:extLst>
                <a:ext uri="{63B3BB69-23CF-44E3-9099-C40C66FF867C}">
                  <a14:compatExt spid="_x0000_s99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87086</xdr:colOff>
          <xdr:row>206</xdr:row>
          <xdr:rowOff>0</xdr:rowOff>
        </xdr:from>
        <xdr:to>
          <xdr:col>9</xdr:col>
          <xdr:colOff>65314</xdr:colOff>
          <xdr:row>206</xdr:row>
          <xdr:rowOff>293914</xdr:rowOff>
        </xdr:to>
        <xdr:sp macro="" textlink="">
          <xdr:nvSpPr>
            <xdr:cNvPr id="9926" name="Option Button 710" hidden="1">
              <a:extLst>
                <a:ext uri="{63B3BB69-23CF-44E3-9099-C40C66FF867C}">
                  <a14:compatExt spid="_x0000_s99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87086</xdr:colOff>
          <xdr:row>254</xdr:row>
          <xdr:rowOff>65314</xdr:rowOff>
        </xdr:from>
        <xdr:to>
          <xdr:col>10</xdr:col>
          <xdr:colOff>179614</xdr:colOff>
          <xdr:row>265</xdr:row>
          <xdr:rowOff>65314</xdr:rowOff>
        </xdr:to>
        <xdr:sp macro="" textlink="">
          <xdr:nvSpPr>
            <xdr:cNvPr id="8283" name="Group Box 91" hidden="1">
              <a:extLst>
                <a:ext uri="{63B3BB69-23CF-44E3-9099-C40C66FF867C}">
                  <a14:compatExt spid="_x0000_s8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255</xdr:row>
          <xdr:rowOff>48986</xdr:rowOff>
        </xdr:from>
        <xdr:to>
          <xdr:col>10</xdr:col>
          <xdr:colOff>103414</xdr:colOff>
          <xdr:row>257</xdr:row>
          <xdr:rowOff>38100</xdr:rowOff>
        </xdr:to>
        <xdr:sp macro="" textlink="">
          <xdr:nvSpPr>
            <xdr:cNvPr id="8285" name="Option Button 93" hidden="1">
              <a:extLst>
                <a:ext uri="{63B3BB69-23CF-44E3-9099-C40C66FF867C}">
                  <a14:compatExt spid="_x0000_s82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257</xdr:row>
          <xdr:rowOff>65314</xdr:rowOff>
        </xdr:from>
        <xdr:to>
          <xdr:col>10</xdr:col>
          <xdr:colOff>38100</xdr:colOff>
          <xdr:row>259</xdr:row>
          <xdr:rowOff>38100</xdr:rowOff>
        </xdr:to>
        <xdr:sp macro="" textlink="">
          <xdr:nvSpPr>
            <xdr:cNvPr id="8286" name="Option Button 94" hidden="1">
              <a:extLst>
                <a:ext uri="{63B3BB69-23CF-44E3-9099-C40C66FF867C}">
                  <a14:compatExt spid="_x0000_s82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259</xdr:row>
          <xdr:rowOff>48986</xdr:rowOff>
        </xdr:from>
        <xdr:to>
          <xdr:col>9</xdr:col>
          <xdr:colOff>76200</xdr:colOff>
          <xdr:row>260</xdr:row>
          <xdr:rowOff>255814</xdr:rowOff>
        </xdr:to>
        <xdr:sp macro="" textlink="">
          <xdr:nvSpPr>
            <xdr:cNvPr id="8287" name="Option Button 95" hidden="1">
              <a:extLst>
                <a:ext uri="{63B3BB69-23CF-44E3-9099-C40C66FF867C}">
                  <a14:compatExt spid="_x0000_s82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261</xdr:row>
          <xdr:rowOff>48986</xdr:rowOff>
        </xdr:from>
        <xdr:to>
          <xdr:col>9</xdr:col>
          <xdr:colOff>76200</xdr:colOff>
          <xdr:row>263</xdr:row>
          <xdr:rowOff>38100</xdr:rowOff>
        </xdr:to>
        <xdr:sp macro="" textlink="">
          <xdr:nvSpPr>
            <xdr:cNvPr id="8288" name="Option Button 96" hidden="1">
              <a:extLst>
                <a:ext uri="{63B3BB69-23CF-44E3-9099-C40C66FF867C}">
                  <a14:compatExt spid="_x0000_s82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263</xdr:row>
          <xdr:rowOff>48986</xdr:rowOff>
        </xdr:from>
        <xdr:to>
          <xdr:col>10</xdr:col>
          <xdr:colOff>27214</xdr:colOff>
          <xdr:row>264</xdr:row>
          <xdr:rowOff>266700</xdr:rowOff>
        </xdr:to>
        <xdr:sp macro="" textlink="">
          <xdr:nvSpPr>
            <xdr:cNvPr id="8291" name="Option Button 99" hidden="1">
              <a:extLst>
                <a:ext uri="{63B3BB69-23CF-44E3-9099-C40C66FF867C}">
                  <a14:compatExt spid="_x0000_s82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271</xdr:row>
          <xdr:rowOff>10886</xdr:rowOff>
        </xdr:from>
        <xdr:to>
          <xdr:col>10</xdr:col>
          <xdr:colOff>103414</xdr:colOff>
          <xdr:row>282</xdr:row>
          <xdr:rowOff>0</xdr:rowOff>
        </xdr:to>
        <xdr:sp macro="" textlink="">
          <xdr:nvSpPr>
            <xdr:cNvPr id="8293" name="Group Box 101" hidden="1">
              <a:extLst>
                <a:ext uri="{63B3BB69-23CF-44E3-9099-C40C66FF867C}">
                  <a14:compatExt spid="_x0000_s8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271</xdr:row>
          <xdr:rowOff>65314</xdr:rowOff>
        </xdr:from>
        <xdr:to>
          <xdr:col>10</xdr:col>
          <xdr:colOff>103414</xdr:colOff>
          <xdr:row>272</xdr:row>
          <xdr:rowOff>266700</xdr:rowOff>
        </xdr:to>
        <xdr:sp macro="" textlink="">
          <xdr:nvSpPr>
            <xdr:cNvPr id="8294" name="Option Button 102" hidden="1">
              <a:extLst>
                <a:ext uri="{63B3BB69-23CF-44E3-9099-C40C66FF867C}">
                  <a14:compatExt spid="_x0000_s82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273</xdr:row>
          <xdr:rowOff>65314</xdr:rowOff>
        </xdr:from>
        <xdr:to>
          <xdr:col>10</xdr:col>
          <xdr:colOff>48986</xdr:colOff>
          <xdr:row>274</xdr:row>
          <xdr:rowOff>277586</xdr:rowOff>
        </xdr:to>
        <xdr:sp macro="" textlink="">
          <xdr:nvSpPr>
            <xdr:cNvPr id="8295" name="Option Button 103" hidden="1">
              <a:extLst>
                <a:ext uri="{63B3BB69-23CF-44E3-9099-C40C66FF867C}">
                  <a14:compatExt spid="_x0000_s82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275</xdr:row>
          <xdr:rowOff>48986</xdr:rowOff>
        </xdr:from>
        <xdr:to>
          <xdr:col>9</xdr:col>
          <xdr:colOff>76200</xdr:colOff>
          <xdr:row>276</xdr:row>
          <xdr:rowOff>255814</xdr:rowOff>
        </xdr:to>
        <xdr:sp macro="" textlink="">
          <xdr:nvSpPr>
            <xdr:cNvPr id="8296" name="Option Button 104" hidden="1">
              <a:extLst>
                <a:ext uri="{63B3BB69-23CF-44E3-9099-C40C66FF867C}">
                  <a14:compatExt spid="_x0000_s82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277</xdr:row>
          <xdr:rowOff>48986</xdr:rowOff>
        </xdr:from>
        <xdr:to>
          <xdr:col>9</xdr:col>
          <xdr:colOff>76200</xdr:colOff>
          <xdr:row>279</xdr:row>
          <xdr:rowOff>48986</xdr:rowOff>
        </xdr:to>
        <xdr:sp macro="" textlink="">
          <xdr:nvSpPr>
            <xdr:cNvPr id="8297" name="Option Button 105" hidden="1">
              <a:extLst>
                <a:ext uri="{63B3BB69-23CF-44E3-9099-C40C66FF867C}">
                  <a14:compatExt spid="_x0000_s82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280</xdr:row>
          <xdr:rowOff>27214</xdr:rowOff>
        </xdr:from>
        <xdr:to>
          <xdr:col>10</xdr:col>
          <xdr:colOff>27214</xdr:colOff>
          <xdr:row>280</xdr:row>
          <xdr:rowOff>332014</xdr:rowOff>
        </xdr:to>
        <xdr:sp macro="" textlink="">
          <xdr:nvSpPr>
            <xdr:cNvPr id="8298" name="Option Button 106" hidden="1">
              <a:extLst>
                <a:ext uri="{63B3BB69-23CF-44E3-9099-C40C66FF867C}">
                  <a14:compatExt spid="_x0000_s82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287</xdr:row>
          <xdr:rowOff>0</xdr:rowOff>
        </xdr:from>
        <xdr:to>
          <xdr:col>10</xdr:col>
          <xdr:colOff>103414</xdr:colOff>
          <xdr:row>298</xdr:row>
          <xdr:rowOff>0</xdr:rowOff>
        </xdr:to>
        <xdr:sp macro="" textlink="">
          <xdr:nvSpPr>
            <xdr:cNvPr id="8299" name="Group Box 107" hidden="1">
              <a:extLst>
                <a:ext uri="{63B3BB69-23CF-44E3-9099-C40C66FF867C}">
                  <a14:compatExt spid="_x0000_s8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287</xdr:row>
          <xdr:rowOff>65314</xdr:rowOff>
        </xdr:from>
        <xdr:to>
          <xdr:col>10</xdr:col>
          <xdr:colOff>103414</xdr:colOff>
          <xdr:row>289</xdr:row>
          <xdr:rowOff>48986</xdr:rowOff>
        </xdr:to>
        <xdr:sp macro="" textlink="">
          <xdr:nvSpPr>
            <xdr:cNvPr id="8300" name="Option Button 108" hidden="1">
              <a:extLst>
                <a:ext uri="{63B3BB69-23CF-44E3-9099-C40C66FF867C}">
                  <a14:compatExt spid="_x0000_s8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289</xdr:row>
          <xdr:rowOff>65314</xdr:rowOff>
        </xdr:from>
        <xdr:to>
          <xdr:col>10</xdr:col>
          <xdr:colOff>48986</xdr:colOff>
          <xdr:row>290</xdr:row>
          <xdr:rowOff>293914</xdr:rowOff>
        </xdr:to>
        <xdr:sp macro="" textlink="">
          <xdr:nvSpPr>
            <xdr:cNvPr id="8301" name="Option Button 109" hidden="1">
              <a:extLst>
                <a:ext uri="{63B3BB69-23CF-44E3-9099-C40C66FF867C}">
                  <a14:compatExt spid="_x0000_s8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291</xdr:row>
          <xdr:rowOff>48986</xdr:rowOff>
        </xdr:from>
        <xdr:to>
          <xdr:col>9</xdr:col>
          <xdr:colOff>76200</xdr:colOff>
          <xdr:row>293</xdr:row>
          <xdr:rowOff>48986</xdr:rowOff>
        </xdr:to>
        <xdr:sp macro="" textlink="">
          <xdr:nvSpPr>
            <xdr:cNvPr id="8302" name="Option Button 110" hidden="1">
              <a:extLst>
                <a:ext uri="{63B3BB69-23CF-44E3-9099-C40C66FF867C}">
                  <a14:compatExt spid="_x0000_s8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293</xdr:row>
          <xdr:rowOff>48986</xdr:rowOff>
        </xdr:from>
        <xdr:to>
          <xdr:col>9</xdr:col>
          <xdr:colOff>76200</xdr:colOff>
          <xdr:row>294</xdr:row>
          <xdr:rowOff>277586</xdr:rowOff>
        </xdr:to>
        <xdr:sp macro="" textlink="">
          <xdr:nvSpPr>
            <xdr:cNvPr id="8303" name="Option Button 111" hidden="1">
              <a:extLst>
                <a:ext uri="{63B3BB69-23CF-44E3-9099-C40C66FF867C}">
                  <a14:compatExt spid="_x0000_s8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295</xdr:row>
          <xdr:rowOff>48986</xdr:rowOff>
        </xdr:from>
        <xdr:to>
          <xdr:col>10</xdr:col>
          <xdr:colOff>27214</xdr:colOff>
          <xdr:row>297</xdr:row>
          <xdr:rowOff>48986</xdr:rowOff>
        </xdr:to>
        <xdr:sp macro="" textlink="">
          <xdr:nvSpPr>
            <xdr:cNvPr id="8304" name="Option Button 112" hidden="1">
              <a:extLst>
                <a:ext uri="{63B3BB69-23CF-44E3-9099-C40C66FF867C}">
                  <a14:compatExt spid="_x0000_s8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303</xdr:row>
          <xdr:rowOff>10886</xdr:rowOff>
        </xdr:from>
        <xdr:to>
          <xdr:col>10</xdr:col>
          <xdr:colOff>103414</xdr:colOff>
          <xdr:row>314</xdr:row>
          <xdr:rowOff>0</xdr:rowOff>
        </xdr:to>
        <xdr:sp macro="" textlink="">
          <xdr:nvSpPr>
            <xdr:cNvPr id="8305" name="Group Box 113" hidden="1">
              <a:extLst>
                <a:ext uri="{63B3BB69-23CF-44E3-9099-C40C66FF867C}">
                  <a14:compatExt spid="_x0000_s83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303</xdr:row>
          <xdr:rowOff>65314</xdr:rowOff>
        </xdr:from>
        <xdr:to>
          <xdr:col>10</xdr:col>
          <xdr:colOff>103414</xdr:colOff>
          <xdr:row>304</xdr:row>
          <xdr:rowOff>277586</xdr:rowOff>
        </xdr:to>
        <xdr:sp macro="" textlink="">
          <xdr:nvSpPr>
            <xdr:cNvPr id="8306" name="Option Button 114" hidden="1">
              <a:extLst>
                <a:ext uri="{63B3BB69-23CF-44E3-9099-C40C66FF867C}">
                  <a14:compatExt spid="_x0000_s8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305</xdr:row>
          <xdr:rowOff>65314</xdr:rowOff>
        </xdr:from>
        <xdr:to>
          <xdr:col>10</xdr:col>
          <xdr:colOff>48986</xdr:colOff>
          <xdr:row>307</xdr:row>
          <xdr:rowOff>65314</xdr:rowOff>
        </xdr:to>
        <xdr:sp macro="" textlink="">
          <xdr:nvSpPr>
            <xdr:cNvPr id="8307" name="Option Button 115" hidden="1">
              <a:extLst>
                <a:ext uri="{63B3BB69-23CF-44E3-9099-C40C66FF867C}">
                  <a14:compatExt spid="_x0000_s8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307</xdr:row>
          <xdr:rowOff>48986</xdr:rowOff>
        </xdr:from>
        <xdr:to>
          <xdr:col>9</xdr:col>
          <xdr:colOff>76200</xdr:colOff>
          <xdr:row>308</xdr:row>
          <xdr:rowOff>266700</xdr:rowOff>
        </xdr:to>
        <xdr:sp macro="" textlink="">
          <xdr:nvSpPr>
            <xdr:cNvPr id="8308" name="Option Button 116" hidden="1">
              <a:extLst>
                <a:ext uri="{63B3BB69-23CF-44E3-9099-C40C66FF867C}">
                  <a14:compatExt spid="_x0000_s8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309</xdr:row>
          <xdr:rowOff>48986</xdr:rowOff>
        </xdr:from>
        <xdr:to>
          <xdr:col>9</xdr:col>
          <xdr:colOff>76200</xdr:colOff>
          <xdr:row>311</xdr:row>
          <xdr:rowOff>48986</xdr:rowOff>
        </xdr:to>
        <xdr:sp macro="" textlink="">
          <xdr:nvSpPr>
            <xdr:cNvPr id="8309" name="Option Button 117" hidden="1">
              <a:extLst>
                <a:ext uri="{63B3BB69-23CF-44E3-9099-C40C66FF867C}">
                  <a14:compatExt spid="_x0000_s8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311</xdr:row>
          <xdr:rowOff>48986</xdr:rowOff>
        </xdr:from>
        <xdr:to>
          <xdr:col>10</xdr:col>
          <xdr:colOff>27214</xdr:colOff>
          <xdr:row>313</xdr:row>
          <xdr:rowOff>48986</xdr:rowOff>
        </xdr:to>
        <xdr:sp macro="" textlink="">
          <xdr:nvSpPr>
            <xdr:cNvPr id="8310" name="Option Button 118" hidden="1">
              <a:extLst>
                <a:ext uri="{63B3BB69-23CF-44E3-9099-C40C66FF867C}">
                  <a14:compatExt spid="_x0000_s8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319</xdr:row>
          <xdr:rowOff>10886</xdr:rowOff>
        </xdr:from>
        <xdr:to>
          <xdr:col>10</xdr:col>
          <xdr:colOff>103414</xdr:colOff>
          <xdr:row>329</xdr:row>
          <xdr:rowOff>65314</xdr:rowOff>
        </xdr:to>
        <xdr:sp macro="" textlink="">
          <xdr:nvSpPr>
            <xdr:cNvPr id="8311" name="Group Box 119" hidden="1">
              <a:extLst>
                <a:ext uri="{63B3BB69-23CF-44E3-9099-C40C66FF867C}">
                  <a14:compatExt spid="_x0000_s83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319</xdr:row>
          <xdr:rowOff>65314</xdr:rowOff>
        </xdr:from>
        <xdr:to>
          <xdr:col>10</xdr:col>
          <xdr:colOff>103414</xdr:colOff>
          <xdr:row>320</xdr:row>
          <xdr:rowOff>277586</xdr:rowOff>
        </xdr:to>
        <xdr:sp macro="" textlink="">
          <xdr:nvSpPr>
            <xdr:cNvPr id="8312" name="Option Button 120" hidden="1">
              <a:extLst>
                <a:ext uri="{63B3BB69-23CF-44E3-9099-C40C66FF867C}">
                  <a14:compatExt spid="_x0000_s8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321</xdr:row>
          <xdr:rowOff>65314</xdr:rowOff>
        </xdr:from>
        <xdr:to>
          <xdr:col>10</xdr:col>
          <xdr:colOff>48986</xdr:colOff>
          <xdr:row>322</xdr:row>
          <xdr:rowOff>293914</xdr:rowOff>
        </xdr:to>
        <xdr:sp macro="" textlink="">
          <xdr:nvSpPr>
            <xdr:cNvPr id="8313" name="Option Button 121" hidden="1">
              <a:extLst>
                <a:ext uri="{63B3BB69-23CF-44E3-9099-C40C66FF867C}">
                  <a14:compatExt spid="_x0000_s8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323</xdr:row>
          <xdr:rowOff>48986</xdr:rowOff>
        </xdr:from>
        <xdr:to>
          <xdr:col>9</xdr:col>
          <xdr:colOff>76200</xdr:colOff>
          <xdr:row>324</xdr:row>
          <xdr:rowOff>266700</xdr:rowOff>
        </xdr:to>
        <xdr:sp macro="" textlink="">
          <xdr:nvSpPr>
            <xdr:cNvPr id="8314" name="Option Button 122" hidden="1">
              <a:extLst>
                <a:ext uri="{63B3BB69-23CF-44E3-9099-C40C66FF867C}">
                  <a14:compatExt spid="_x0000_s8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325</xdr:row>
          <xdr:rowOff>48986</xdr:rowOff>
        </xdr:from>
        <xdr:to>
          <xdr:col>9</xdr:col>
          <xdr:colOff>76200</xdr:colOff>
          <xdr:row>327</xdr:row>
          <xdr:rowOff>48986</xdr:rowOff>
        </xdr:to>
        <xdr:sp macro="" textlink="">
          <xdr:nvSpPr>
            <xdr:cNvPr id="8315" name="Option Button 123" hidden="1">
              <a:extLst>
                <a:ext uri="{63B3BB69-23CF-44E3-9099-C40C66FF867C}">
                  <a14:compatExt spid="_x0000_s8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327</xdr:row>
          <xdr:rowOff>48986</xdr:rowOff>
        </xdr:from>
        <xdr:to>
          <xdr:col>10</xdr:col>
          <xdr:colOff>27214</xdr:colOff>
          <xdr:row>329</xdr:row>
          <xdr:rowOff>48986</xdr:rowOff>
        </xdr:to>
        <xdr:sp macro="" textlink="">
          <xdr:nvSpPr>
            <xdr:cNvPr id="8316" name="Option Button 124" hidden="1">
              <a:extLst>
                <a:ext uri="{63B3BB69-23CF-44E3-9099-C40C66FF867C}">
                  <a14:compatExt spid="_x0000_s8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335</xdr:row>
          <xdr:rowOff>48986</xdr:rowOff>
        </xdr:from>
        <xdr:to>
          <xdr:col>10</xdr:col>
          <xdr:colOff>103414</xdr:colOff>
          <xdr:row>347</xdr:row>
          <xdr:rowOff>65314</xdr:rowOff>
        </xdr:to>
        <xdr:sp macro="" textlink="">
          <xdr:nvSpPr>
            <xdr:cNvPr id="8317" name="Group Box 125" hidden="1">
              <a:extLst>
                <a:ext uri="{63B3BB69-23CF-44E3-9099-C40C66FF867C}">
                  <a14:compatExt spid="_x0000_s8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337</xdr:row>
          <xdr:rowOff>48986</xdr:rowOff>
        </xdr:from>
        <xdr:to>
          <xdr:col>10</xdr:col>
          <xdr:colOff>103414</xdr:colOff>
          <xdr:row>339</xdr:row>
          <xdr:rowOff>38100</xdr:rowOff>
        </xdr:to>
        <xdr:sp macro="" textlink="">
          <xdr:nvSpPr>
            <xdr:cNvPr id="8318" name="Option Button 126" hidden="1">
              <a:extLst>
                <a:ext uri="{63B3BB69-23CF-44E3-9099-C40C66FF867C}">
                  <a14:compatExt spid="_x0000_s8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339</xdr:row>
          <xdr:rowOff>27214</xdr:rowOff>
        </xdr:from>
        <xdr:to>
          <xdr:col>10</xdr:col>
          <xdr:colOff>48986</xdr:colOff>
          <xdr:row>341</xdr:row>
          <xdr:rowOff>38100</xdr:rowOff>
        </xdr:to>
        <xdr:sp macro="" textlink="">
          <xdr:nvSpPr>
            <xdr:cNvPr id="8319" name="Option Button 127" hidden="1">
              <a:extLst>
                <a:ext uri="{63B3BB69-23CF-44E3-9099-C40C66FF867C}">
                  <a14:compatExt spid="_x0000_s8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341</xdr:row>
          <xdr:rowOff>48986</xdr:rowOff>
        </xdr:from>
        <xdr:to>
          <xdr:col>9</xdr:col>
          <xdr:colOff>76200</xdr:colOff>
          <xdr:row>342</xdr:row>
          <xdr:rowOff>266700</xdr:rowOff>
        </xdr:to>
        <xdr:sp macro="" textlink="">
          <xdr:nvSpPr>
            <xdr:cNvPr id="8320" name="Option Button 128" hidden="1">
              <a:extLst>
                <a:ext uri="{63B3BB69-23CF-44E3-9099-C40C66FF867C}">
                  <a14:compatExt spid="_x0000_s8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343</xdr:row>
          <xdr:rowOff>48986</xdr:rowOff>
        </xdr:from>
        <xdr:to>
          <xdr:col>9</xdr:col>
          <xdr:colOff>76200</xdr:colOff>
          <xdr:row>344</xdr:row>
          <xdr:rowOff>277586</xdr:rowOff>
        </xdr:to>
        <xdr:sp macro="" textlink="">
          <xdr:nvSpPr>
            <xdr:cNvPr id="8321" name="Option Button 129" hidden="1">
              <a:extLst>
                <a:ext uri="{63B3BB69-23CF-44E3-9099-C40C66FF867C}">
                  <a14:compatExt spid="_x0000_s8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345</xdr:row>
          <xdr:rowOff>10886</xdr:rowOff>
        </xdr:from>
        <xdr:to>
          <xdr:col>10</xdr:col>
          <xdr:colOff>27214</xdr:colOff>
          <xdr:row>346</xdr:row>
          <xdr:rowOff>239486</xdr:rowOff>
        </xdr:to>
        <xdr:sp macro="" textlink="">
          <xdr:nvSpPr>
            <xdr:cNvPr id="8322" name="Option Button 130" hidden="1">
              <a:extLst>
                <a:ext uri="{63B3BB69-23CF-44E3-9099-C40C66FF867C}">
                  <a14:compatExt spid="_x0000_s8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335</xdr:row>
          <xdr:rowOff>48986</xdr:rowOff>
        </xdr:from>
        <xdr:to>
          <xdr:col>10</xdr:col>
          <xdr:colOff>48986</xdr:colOff>
          <xdr:row>337</xdr:row>
          <xdr:rowOff>38100</xdr:rowOff>
        </xdr:to>
        <xdr:sp macro="" textlink="">
          <xdr:nvSpPr>
            <xdr:cNvPr id="8323" name="Option Button 131" hidden="1">
              <a:extLst>
                <a:ext uri="{63B3BB69-23CF-44E3-9099-C40C66FF867C}">
                  <a14:compatExt spid="_x0000_s8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357</xdr:row>
          <xdr:rowOff>10886</xdr:rowOff>
        </xdr:from>
        <xdr:to>
          <xdr:col>10</xdr:col>
          <xdr:colOff>103414</xdr:colOff>
          <xdr:row>368</xdr:row>
          <xdr:rowOff>0</xdr:rowOff>
        </xdr:to>
        <xdr:sp macro="" textlink="">
          <xdr:nvSpPr>
            <xdr:cNvPr id="8324" name="Group Box 132" hidden="1">
              <a:extLst>
                <a:ext uri="{63B3BB69-23CF-44E3-9099-C40C66FF867C}">
                  <a14:compatExt spid="_x0000_s83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357</xdr:row>
          <xdr:rowOff>65314</xdr:rowOff>
        </xdr:from>
        <xdr:to>
          <xdr:col>10</xdr:col>
          <xdr:colOff>103414</xdr:colOff>
          <xdr:row>359</xdr:row>
          <xdr:rowOff>48986</xdr:rowOff>
        </xdr:to>
        <xdr:sp macro="" textlink="">
          <xdr:nvSpPr>
            <xdr:cNvPr id="8325" name="Option Button 133" hidden="1">
              <a:extLst>
                <a:ext uri="{63B3BB69-23CF-44E3-9099-C40C66FF867C}">
                  <a14:compatExt spid="_x0000_s8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359</xdr:row>
          <xdr:rowOff>65314</xdr:rowOff>
        </xdr:from>
        <xdr:to>
          <xdr:col>10</xdr:col>
          <xdr:colOff>48986</xdr:colOff>
          <xdr:row>361</xdr:row>
          <xdr:rowOff>65314</xdr:rowOff>
        </xdr:to>
        <xdr:sp macro="" textlink="">
          <xdr:nvSpPr>
            <xdr:cNvPr id="8326" name="Option Button 134" hidden="1">
              <a:extLst>
                <a:ext uri="{63B3BB69-23CF-44E3-9099-C40C66FF867C}">
                  <a14:compatExt spid="_x0000_s8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361</xdr:row>
          <xdr:rowOff>48986</xdr:rowOff>
        </xdr:from>
        <xdr:to>
          <xdr:col>9</xdr:col>
          <xdr:colOff>76200</xdr:colOff>
          <xdr:row>363</xdr:row>
          <xdr:rowOff>48986</xdr:rowOff>
        </xdr:to>
        <xdr:sp macro="" textlink="">
          <xdr:nvSpPr>
            <xdr:cNvPr id="8327" name="Option Button 135" hidden="1">
              <a:extLst>
                <a:ext uri="{63B3BB69-23CF-44E3-9099-C40C66FF867C}">
                  <a14:compatExt spid="_x0000_s8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363</xdr:row>
          <xdr:rowOff>48986</xdr:rowOff>
        </xdr:from>
        <xdr:to>
          <xdr:col>9</xdr:col>
          <xdr:colOff>76200</xdr:colOff>
          <xdr:row>365</xdr:row>
          <xdr:rowOff>48986</xdr:rowOff>
        </xdr:to>
        <xdr:sp macro="" textlink="">
          <xdr:nvSpPr>
            <xdr:cNvPr id="8328" name="Option Button 136" hidden="1">
              <a:extLst>
                <a:ext uri="{63B3BB69-23CF-44E3-9099-C40C66FF867C}">
                  <a14:compatExt spid="_x0000_s8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365</xdr:row>
          <xdr:rowOff>48986</xdr:rowOff>
        </xdr:from>
        <xdr:to>
          <xdr:col>10</xdr:col>
          <xdr:colOff>27214</xdr:colOff>
          <xdr:row>367</xdr:row>
          <xdr:rowOff>48986</xdr:rowOff>
        </xdr:to>
        <xdr:sp macro="" textlink="">
          <xdr:nvSpPr>
            <xdr:cNvPr id="8329" name="Option Button 137" hidden="1">
              <a:extLst>
                <a:ext uri="{63B3BB69-23CF-44E3-9099-C40C66FF867C}">
                  <a14:compatExt spid="_x0000_s8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373</xdr:row>
          <xdr:rowOff>10886</xdr:rowOff>
        </xdr:from>
        <xdr:to>
          <xdr:col>10</xdr:col>
          <xdr:colOff>103414</xdr:colOff>
          <xdr:row>383</xdr:row>
          <xdr:rowOff>48986</xdr:rowOff>
        </xdr:to>
        <xdr:sp macro="" textlink="">
          <xdr:nvSpPr>
            <xdr:cNvPr id="8330" name="Group Box 138" hidden="1">
              <a:extLst>
                <a:ext uri="{63B3BB69-23CF-44E3-9099-C40C66FF867C}">
                  <a14:compatExt spid="_x0000_s83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373</xdr:row>
          <xdr:rowOff>65314</xdr:rowOff>
        </xdr:from>
        <xdr:to>
          <xdr:col>10</xdr:col>
          <xdr:colOff>103414</xdr:colOff>
          <xdr:row>375</xdr:row>
          <xdr:rowOff>48986</xdr:rowOff>
        </xdr:to>
        <xdr:sp macro="" textlink="">
          <xdr:nvSpPr>
            <xdr:cNvPr id="8331" name="Option Button 139" hidden="1">
              <a:extLst>
                <a:ext uri="{63B3BB69-23CF-44E3-9099-C40C66FF867C}">
                  <a14:compatExt spid="_x0000_s8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375</xdr:row>
          <xdr:rowOff>65314</xdr:rowOff>
        </xdr:from>
        <xdr:to>
          <xdr:col>10</xdr:col>
          <xdr:colOff>48986</xdr:colOff>
          <xdr:row>376</xdr:row>
          <xdr:rowOff>293914</xdr:rowOff>
        </xdr:to>
        <xdr:sp macro="" textlink="">
          <xdr:nvSpPr>
            <xdr:cNvPr id="8332" name="Option Button 140" hidden="1">
              <a:extLst>
                <a:ext uri="{63B3BB69-23CF-44E3-9099-C40C66FF867C}">
                  <a14:compatExt spid="_x0000_s8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377</xdr:row>
          <xdr:rowOff>48986</xdr:rowOff>
        </xdr:from>
        <xdr:to>
          <xdr:col>9</xdr:col>
          <xdr:colOff>76200</xdr:colOff>
          <xdr:row>378</xdr:row>
          <xdr:rowOff>266700</xdr:rowOff>
        </xdr:to>
        <xdr:sp macro="" textlink="">
          <xdr:nvSpPr>
            <xdr:cNvPr id="8333" name="Option Button 141" hidden="1">
              <a:extLst>
                <a:ext uri="{63B3BB69-23CF-44E3-9099-C40C66FF867C}">
                  <a14:compatExt spid="_x0000_s8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379</xdr:row>
          <xdr:rowOff>48986</xdr:rowOff>
        </xdr:from>
        <xdr:to>
          <xdr:col>9</xdr:col>
          <xdr:colOff>76200</xdr:colOff>
          <xdr:row>381</xdr:row>
          <xdr:rowOff>48986</xdr:rowOff>
        </xdr:to>
        <xdr:sp macro="" textlink="">
          <xdr:nvSpPr>
            <xdr:cNvPr id="8334" name="Option Button 142" hidden="1">
              <a:extLst>
                <a:ext uri="{63B3BB69-23CF-44E3-9099-C40C66FF867C}">
                  <a14:compatExt spid="_x0000_s8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381</xdr:row>
          <xdr:rowOff>48986</xdr:rowOff>
        </xdr:from>
        <xdr:to>
          <xdr:col>10</xdr:col>
          <xdr:colOff>27214</xdr:colOff>
          <xdr:row>383</xdr:row>
          <xdr:rowOff>48986</xdr:rowOff>
        </xdr:to>
        <xdr:sp macro="" textlink="">
          <xdr:nvSpPr>
            <xdr:cNvPr id="8335" name="Option Button 143" hidden="1">
              <a:extLst>
                <a:ext uri="{63B3BB69-23CF-44E3-9099-C40C66FF867C}">
                  <a14:compatExt spid="_x0000_s8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389</xdr:row>
          <xdr:rowOff>10886</xdr:rowOff>
        </xdr:from>
        <xdr:to>
          <xdr:col>10</xdr:col>
          <xdr:colOff>103414</xdr:colOff>
          <xdr:row>400</xdr:row>
          <xdr:rowOff>0</xdr:rowOff>
        </xdr:to>
        <xdr:sp macro="" textlink="">
          <xdr:nvSpPr>
            <xdr:cNvPr id="8336" name="Group Box 144" hidden="1">
              <a:extLst>
                <a:ext uri="{63B3BB69-23CF-44E3-9099-C40C66FF867C}">
                  <a14:compatExt spid="_x0000_s83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389</xdr:row>
          <xdr:rowOff>65314</xdr:rowOff>
        </xdr:from>
        <xdr:to>
          <xdr:col>10</xdr:col>
          <xdr:colOff>103414</xdr:colOff>
          <xdr:row>391</xdr:row>
          <xdr:rowOff>48986</xdr:rowOff>
        </xdr:to>
        <xdr:sp macro="" textlink="">
          <xdr:nvSpPr>
            <xdr:cNvPr id="8337" name="Option Button 145" hidden="1">
              <a:extLst>
                <a:ext uri="{63B3BB69-23CF-44E3-9099-C40C66FF867C}">
                  <a14:compatExt spid="_x0000_s8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391</xdr:row>
          <xdr:rowOff>65314</xdr:rowOff>
        </xdr:from>
        <xdr:to>
          <xdr:col>10</xdr:col>
          <xdr:colOff>48986</xdr:colOff>
          <xdr:row>392</xdr:row>
          <xdr:rowOff>293914</xdr:rowOff>
        </xdr:to>
        <xdr:sp macro="" textlink="">
          <xdr:nvSpPr>
            <xdr:cNvPr id="8338" name="Option Button 146" hidden="1">
              <a:extLst>
                <a:ext uri="{63B3BB69-23CF-44E3-9099-C40C66FF867C}">
                  <a14:compatExt spid="_x0000_s8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393</xdr:row>
          <xdr:rowOff>48986</xdr:rowOff>
        </xdr:from>
        <xdr:to>
          <xdr:col>9</xdr:col>
          <xdr:colOff>76200</xdr:colOff>
          <xdr:row>394</xdr:row>
          <xdr:rowOff>266700</xdr:rowOff>
        </xdr:to>
        <xdr:sp macro="" textlink="">
          <xdr:nvSpPr>
            <xdr:cNvPr id="8339" name="Option Button 147" hidden="1">
              <a:extLst>
                <a:ext uri="{63B3BB69-23CF-44E3-9099-C40C66FF867C}">
                  <a14:compatExt spid="_x0000_s8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395</xdr:row>
          <xdr:rowOff>48986</xdr:rowOff>
        </xdr:from>
        <xdr:to>
          <xdr:col>9</xdr:col>
          <xdr:colOff>76200</xdr:colOff>
          <xdr:row>397</xdr:row>
          <xdr:rowOff>48986</xdr:rowOff>
        </xdr:to>
        <xdr:sp macro="" textlink="">
          <xdr:nvSpPr>
            <xdr:cNvPr id="8340" name="Option Button 148" hidden="1">
              <a:extLst>
                <a:ext uri="{63B3BB69-23CF-44E3-9099-C40C66FF867C}">
                  <a14:compatExt spid="_x0000_s8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397</xdr:row>
          <xdr:rowOff>48986</xdr:rowOff>
        </xdr:from>
        <xdr:to>
          <xdr:col>10</xdr:col>
          <xdr:colOff>27214</xdr:colOff>
          <xdr:row>399</xdr:row>
          <xdr:rowOff>48986</xdr:rowOff>
        </xdr:to>
        <xdr:sp macro="" textlink="">
          <xdr:nvSpPr>
            <xdr:cNvPr id="8341" name="Option Button 149" hidden="1">
              <a:extLst>
                <a:ext uri="{63B3BB69-23CF-44E3-9099-C40C66FF867C}">
                  <a14:compatExt spid="_x0000_s8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405</xdr:row>
          <xdr:rowOff>10886</xdr:rowOff>
        </xdr:from>
        <xdr:to>
          <xdr:col>10</xdr:col>
          <xdr:colOff>103414</xdr:colOff>
          <xdr:row>416</xdr:row>
          <xdr:rowOff>0</xdr:rowOff>
        </xdr:to>
        <xdr:sp macro="" textlink="">
          <xdr:nvSpPr>
            <xdr:cNvPr id="8342" name="Group Box 150" hidden="1">
              <a:extLst>
                <a:ext uri="{63B3BB69-23CF-44E3-9099-C40C66FF867C}">
                  <a14:compatExt spid="_x0000_s8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405</xdr:row>
          <xdr:rowOff>65314</xdr:rowOff>
        </xdr:from>
        <xdr:to>
          <xdr:col>10</xdr:col>
          <xdr:colOff>103414</xdr:colOff>
          <xdr:row>407</xdr:row>
          <xdr:rowOff>48986</xdr:rowOff>
        </xdr:to>
        <xdr:sp macro="" textlink="">
          <xdr:nvSpPr>
            <xdr:cNvPr id="8343" name="Option Button 151" hidden="1">
              <a:extLst>
                <a:ext uri="{63B3BB69-23CF-44E3-9099-C40C66FF867C}">
                  <a14:compatExt spid="_x0000_s8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407</xdr:row>
          <xdr:rowOff>65314</xdr:rowOff>
        </xdr:from>
        <xdr:to>
          <xdr:col>10</xdr:col>
          <xdr:colOff>48986</xdr:colOff>
          <xdr:row>409</xdr:row>
          <xdr:rowOff>48986</xdr:rowOff>
        </xdr:to>
        <xdr:sp macro="" textlink="">
          <xdr:nvSpPr>
            <xdr:cNvPr id="8344" name="Option Button 152" hidden="1">
              <a:extLst>
                <a:ext uri="{63B3BB69-23CF-44E3-9099-C40C66FF867C}">
                  <a14:compatExt spid="_x0000_s8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409</xdr:row>
          <xdr:rowOff>48986</xdr:rowOff>
        </xdr:from>
        <xdr:to>
          <xdr:col>9</xdr:col>
          <xdr:colOff>76200</xdr:colOff>
          <xdr:row>410</xdr:row>
          <xdr:rowOff>266700</xdr:rowOff>
        </xdr:to>
        <xdr:sp macro="" textlink="">
          <xdr:nvSpPr>
            <xdr:cNvPr id="8345" name="Option Button 153" hidden="1">
              <a:extLst>
                <a:ext uri="{63B3BB69-23CF-44E3-9099-C40C66FF867C}">
                  <a14:compatExt spid="_x0000_s8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411</xdr:row>
          <xdr:rowOff>48986</xdr:rowOff>
        </xdr:from>
        <xdr:to>
          <xdr:col>9</xdr:col>
          <xdr:colOff>76200</xdr:colOff>
          <xdr:row>413</xdr:row>
          <xdr:rowOff>48986</xdr:rowOff>
        </xdr:to>
        <xdr:sp macro="" textlink="">
          <xdr:nvSpPr>
            <xdr:cNvPr id="8346" name="Option Button 154" hidden="1">
              <a:extLst>
                <a:ext uri="{63B3BB69-23CF-44E3-9099-C40C66FF867C}">
                  <a14:compatExt spid="_x0000_s8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413</xdr:row>
          <xdr:rowOff>48986</xdr:rowOff>
        </xdr:from>
        <xdr:to>
          <xdr:col>10</xdr:col>
          <xdr:colOff>27214</xdr:colOff>
          <xdr:row>415</xdr:row>
          <xdr:rowOff>48986</xdr:rowOff>
        </xdr:to>
        <xdr:sp macro="" textlink="">
          <xdr:nvSpPr>
            <xdr:cNvPr id="8347" name="Option Button 155" hidden="1">
              <a:extLst>
                <a:ext uri="{63B3BB69-23CF-44E3-9099-C40C66FF867C}">
                  <a14:compatExt spid="_x0000_s8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421</xdr:row>
          <xdr:rowOff>10886</xdr:rowOff>
        </xdr:from>
        <xdr:to>
          <xdr:col>10</xdr:col>
          <xdr:colOff>103414</xdr:colOff>
          <xdr:row>432</xdr:row>
          <xdr:rowOff>0</xdr:rowOff>
        </xdr:to>
        <xdr:sp macro="" textlink="">
          <xdr:nvSpPr>
            <xdr:cNvPr id="8348" name="Group Box 156" hidden="1">
              <a:extLst>
                <a:ext uri="{63B3BB69-23CF-44E3-9099-C40C66FF867C}">
                  <a14:compatExt spid="_x0000_s83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421</xdr:row>
          <xdr:rowOff>65314</xdr:rowOff>
        </xdr:from>
        <xdr:to>
          <xdr:col>10</xdr:col>
          <xdr:colOff>103414</xdr:colOff>
          <xdr:row>423</xdr:row>
          <xdr:rowOff>48986</xdr:rowOff>
        </xdr:to>
        <xdr:sp macro="" textlink="">
          <xdr:nvSpPr>
            <xdr:cNvPr id="8349" name="Option Button 157" hidden="1">
              <a:extLst>
                <a:ext uri="{63B3BB69-23CF-44E3-9099-C40C66FF867C}">
                  <a14:compatExt spid="_x0000_s8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423</xdr:row>
          <xdr:rowOff>65314</xdr:rowOff>
        </xdr:from>
        <xdr:to>
          <xdr:col>10</xdr:col>
          <xdr:colOff>48986</xdr:colOff>
          <xdr:row>425</xdr:row>
          <xdr:rowOff>65314</xdr:rowOff>
        </xdr:to>
        <xdr:sp macro="" textlink="">
          <xdr:nvSpPr>
            <xdr:cNvPr id="8350" name="Option Button 158" hidden="1">
              <a:extLst>
                <a:ext uri="{63B3BB69-23CF-44E3-9099-C40C66FF867C}">
                  <a14:compatExt spid="_x0000_s8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425</xdr:row>
          <xdr:rowOff>48986</xdr:rowOff>
        </xdr:from>
        <xdr:to>
          <xdr:col>9</xdr:col>
          <xdr:colOff>76200</xdr:colOff>
          <xdr:row>426</xdr:row>
          <xdr:rowOff>266700</xdr:rowOff>
        </xdr:to>
        <xdr:sp macro="" textlink="">
          <xdr:nvSpPr>
            <xdr:cNvPr id="8351" name="Option Button 159" hidden="1">
              <a:extLst>
                <a:ext uri="{63B3BB69-23CF-44E3-9099-C40C66FF867C}">
                  <a14:compatExt spid="_x0000_s8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427</xdr:row>
          <xdr:rowOff>48986</xdr:rowOff>
        </xdr:from>
        <xdr:to>
          <xdr:col>9</xdr:col>
          <xdr:colOff>76200</xdr:colOff>
          <xdr:row>428</xdr:row>
          <xdr:rowOff>277586</xdr:rowOff>
        </xdr:to>
        <xdr:sp macro="" textlink="">
          <xdr:nvSpPr>
            <xdr:cNvPr id="8352" name="Option Button 160" hidden="1">
              <a:extLst>
                <a:ext uri="{63B3BB69-23CF-44E3-9099-C40C66FF867C}">
                  <a14:compatExt spid="_x0000_s8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429</xdr:row>
          <xdr:rowOff>48986</xdr:rowOff>
        </xdr:from>
        <xdr:to>
          <xdr:col>10</xdr:col>
          <xdr:colOff>27214</xdr:colOff>
          <xdr:row>431</xdr:row>
          <xdr:rowOff>48986</xdr:rowOff>
        </xdr:to>
        <xdr:sp macro="" textlink="">
          <xdr:nvSpPr>
            <xdr:cNvPr id="8353" name="Option Button 161" hidden="1">
              <a:extLst>
                <a:ext uri="{63B3BB69-23CF-44E3-9099-C40C66FF867C}">
                  <a14:compatExt spid="_x0000_s8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441</xdr:row>
          <xdr:rowOff>10886</xdr:rowOff>
        </xdr:from>
        <xdr:to>
          <xdr:col>10</xdr:col>
          <xdr:colOff>103414</xdr:colOff>
          <xdr:row>452</xdr:row>
          <xdr:rowOff>0</xdr:rowOff>
        </xdr:to>
        <xdr:sp macro="" textlink="">
          <xdr:nvSpPr>
            <xdr:cNvPr id="8354" name="Group Box 162" hidden="1">
              <a:extLst>
                <a:ext uri="{63B3BB69-23CF-44E3-9099-C40C66FF867C}">
                  <a14:compatExt spid="_x0000_s83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441</xdr:row>
          <xdr:rowOff>65314</xdr:rowOff>
        </xdr:from>
        <xdr:to>
          <xdr:col>10</xdr:col>
          <xdr:colOff>103414</xdr:colOff>
          <xdr:row>442</xdr:row>
          <xdr:rowOff>277586</xdr:rowOff>
        </xdr:to>
        <xdr:sp macro="" textlink="">
          <xdr:nvSpPr>
            <xdr:cNvPr id="8355" name="Option Button 163" hidden="1">
              <a:extLst>
                <a:ext uri="{63B3BB69-23CF-44E3-9099-C40C66FF867C}">
                  <a14:compatExt spid="_x0000_s8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443</xdr:row>
          <xdr:rowOff>65314</xdr:rowOff>
        </xdr:from>
        <xdr:to>
          <xdr:col>10</xdr:col>
          <xdr:colOff>48986</xdr:colOff>
          <xdr:row>446</xdr:row>
          <xdr:rowOff>0</xdr:rowOff>
        </xdr:to>
        <xdr:sp macro="" textlink="">
          <xdr:nvSpPr>
            <xdr:cNvPr id="8356" name="Option Button 164" hidden="1">
              <a:extLst>
                <a:ext uri="{63B3BB69-23CF-44E3-9099-C40C66FF867C}">
                  <a14:compatExt spid="_x0000_s8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445</xdr:row>
          <xdr:rowOff>48986</xdr:rowOff>
        </xdr:from>
        <xdr:to>
          <xdr:col>9</xdr:col>
          <xdr:colOff>76200</xdr:colOff>
          <xdr:row>447</xdr:row>
          <xdr:rowOff>38100</xdr:rowOff>
        </xdr:to>
        <xdr:sp macro="" textlink="">
          <xdr:nvSpPr>
            <xdr:cNvPr id="8357" name="Option Button 165" hidden="1">
              <a:extLst>
                <a:ext uri="{63B3BB69-23CF-44E3-9099-C40C66FF867C}">
                  <a14:compatExt spid="_x0000_s8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447</xdr:row>
          <xdr:rowOff>48986</xdr:rowOff>
        </xdr:from>
        <xdr:to>
          <xdr:col>9</xdr:col>
          <xdr:colOff>76200</xdr:colOff>
          <xdr:row>449</xdr:row>
          <xdr:rowOff>48986</xdr:rowOff>
        </xdr:to>
        <xdr:sp macro="" textlink="">
          <xdr:nvSpPr>
            <xdr:cNvPr id="8358" name="Option Button 166" hidden="1">
              <a:extLst>
                <a:ext uri="{63B3BB69-23CF-44E3-9099-C40C66FF867C}">
                  <a14:compatExt spid="_x0000_s8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449</xdr:row>
          <xdr:rowOff>48986</xdr:rowOff>
        </xdr:from>
        <xdr:to>
          <xdr:col>10</xdr:col>
          <xdr:colOff>27214</xdr:colOff>
          <xdr:row>451</xdr:row>
          <xdr:rowOff>48986</xdr:rowOff>
        </xdr:to>
        <xdr:sp macro="" textlink="">
          <xdr:nvSpPr>
            <xdr:cNvPr id="8359" name="Option Button 167" hidden="1">
              <a:extLst>
                <a:ext uri="{63B3BB69-23CF-44E3-9099-C40C66FF867C}">
                  <a14:compatExt spid="_x0000_s8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457</xdr:row>
          <xdr:rowOff>10886</xdr:rowOff>
        </xdr:from>
        <xdr:to>
          <xdr:col>10</xdr:col>
          <xdr:colOff>103414</xdr:colOff>
          <xdr:row>468</xdr:row>
          <xdr:rowOff>0</xdr:rowOff>
        </xdr:to>
        <xdr:sp macro="" textlink="">
          <xdr:nvSpPr>
            <xdr:cNvPr id="8360" name="Group Box 168" hidden="1">
              <a:extLst>
                <a:ext uri="{63B3BB69-23CF-44E3-9099-C40C66FF867C}">
                  <a14:compatExt spid="_x0000_s83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457</xdr:row>
          <xdr:rowOff>65314</xdr:rowOff>
        </xdr:from>
        <xdr:to>
          <xdr:col>10</xdr:col>
          <xdr:colOff>103414</xdr:colOff>
          <xdr:row>458</xdr:row>
          <xdr:rowOff>277586</xdr:rowOff>
        </xdr:to>
        <xdr:sp macro="" textlink="">
          <xdr:nvSpPr>
            <xdr:cNvPr id="8361" name="Option Button 169" hidden="1">
              <a:extLst>
                <a:ext uri="{63B3BB69-23CF-44E3-9099-C40C66FF867C}">
                  <a14:compatExt spid="_x0000_s8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459</xdr:row>
          <xdr:rowOff>65314</xdr:rowOff>
        </xdr:from>
        <xdr:to>
          <xdr:col>10</xdr:col>
          <xdr:colOff>48986</xdr:colOff>
          <xdr:row>460</xdr:row>
          <xdr:rowOff>293914</xdr:rowOff>
        </xdr:to>
        <xdr:sp macro="" textlink="">
          <xdr:nvSpPr>
            <xdr:cNvPr id="8362" name="Option Button 170" hidden="1">
              <a:extLst>
                <a:ext uri="{63B3BB69-23CF-44E3-9099-C40C66FF867C}">
                  <a14:compatExt spid="_x0000_s8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461</xdr:row>
          <xdr:rowOff>48986</xdr:rowOff>
        </xdr:from>
        <xdr:to>
          <xdr:col>9</xdr:col>
          <xdr:colOff>76200</xdr:colOff>
          <xdr:row>462</xdr:row>
          <xdr:rowOff>266700</xdr:rowOff>
        </xdr:to>
        <xdr:sp macro="" textlink="">
          <xdr:nvSpPr>
            <xdr:cNvPr id="8363" name="Option Button 171" hidden="1">
              <a:extLst>
                <a:ext uri="{63B3BB69-23CF-44E3-9099-C40C66FF867C}">
                  <a14:compatExt spid="_x0000_s8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463</xdr:row>
          <xdr:rowOff>48986</xdr:rowOff>
        </xdr:from>
        <xdr:to>
          <xdr:col>9</xdr:col>
          <xdr:colOff>76200</xdr:colOff>
          <xdr:row>464</xdr:row>
          <xdr:rowOff>277586</xdr:rowOff>
        </xdr:to>
        <xdr:sp macro="" textlink="">
          <xdr:nvSpPr>
            <xdr:cNvPr id="8364" name="Option Button 172" hidden="1">
              <a:extLst>
                <a:ext uri="{63B3BB69-23CF-44E3-9099-C40C66FF867C}">
                  <a14:compatExt spid="_x0000_s8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465</xdr:row>
          <xdr:rowOff>48986</xdr:rowOff>
        </xdr:from>
        <xdr:to>
          <xdr:col>10</xdr:col>
          <xdr:colOff>27214</xdr:colOff>
          <xdr:row>466</xdr:row>
          <xdr:rowOff>277586</xdr:rowOff>
        </xdr:to>
        <xdr:sp macro="" textlink="">
          <xdr:nvSpPr>
            <xdr:cNvPr id="8365" name="Option Button 173" hidden="1">
              <a:extLst>
                <a:ext uri="{63B3BB69-23CF-44E3-9099-C40C66FF867C}">
                  <a14:compatExt spid="_x0000_s8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473</xdr:row>
          <xdr:rowOff>10886</xdr:rowOff>
        </xdr:from>
        <xdr:to>
          <xdr:col>10</xdr:col>
          <xdr:colOff>103414</xdr:colOff>
          <xdr:row>484</xdr:row>
          <xdr:rowOff>0</xdr:rowOff>
        </xdr:to>
        <xdr:sp macro="" textlink="">
          <xdr:nvSpPr>
            <xdr:cNvPr id="8366" name="Group Box 174" hidden="1">
              <a:extLst>
                <a:ext uri="{63B3BB69-23CF-44E3-9099-C40C66FF867C}">
                  <a14:compatExt spid="_x0000_s8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473</xdr:row>
          <xdr:rowOff>65314</xdr:rowOff>
        </xdr:from>
        <xdr:to>
          <xdr:col>10</xdr:col>
          <xdr:colOff>103414</xdr:colOff>
          <xdr:row>474</xdr:row>
          <xdr:rowOff>277586</xdr:rowOff>
        </xdr:to>
        <xdr:sp macro="" textlink="">
          <xdr:nvSpPr>
            <xdr:cNvPr id="8367" name="Option Button 175" hidden="1">
              <a:extLst>
                <a:ext uri="{63B3BB69-23CF-44E3-9099-C40C66FF867C}">
                  <a14:compatExt spid="_x0000_s8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475</xdr:row>
          <xdr:rowOff>65314</xdr:rowOff>
        </xdr:from>
        <xdr:to>
          <xdr:col>10</xdr:col>
          <xdr:colOff>48986</xdr:colOff>
          <xdr:row>476</xdr:row>
          <xdr:rowOff>293914</xdr:rowOff>
        </xdr:to>
        <xdr:sp macro="" textlink="">
          <xdr:nvSpPr>
            <xdr:cNvPr id="8368" name="Option Button 176" hidden="1">
              <a:extLst>
                <a:ext uri="{63B3BB69-23CF-44E3-9099-C40C66FF867C}">
                  <a14:compatExt spid="_x0000_s8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477</xdr:row>
          <xdr:rowOff>48986</xdr:rowOff>
        </xdr:from>
        <xdr:to>
          <xdr:col>9</xdr:col>
          <xdr:colOff>76200</xdr:colOff>
          <xdr:row>479</xdr:row>
          <xdr:rowOff>48986</xdr:rowOff>
        </xdr:to>
        <xdr:sp macro="" textlink="">
          <xdr:nvSpPr>
            <xdr:cNvPr id="8369" name="Option Button 177" hidden="1">
              <a:extLst>
                <a:ext uri="{63B3BB69-23CF-44E3-9099-C40C66FF867C}">
                  <a14:compatExt spid="_x0000_s8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479</xdr:row>
          <xdr:rowOff>48986</xdr:rowOff>
        </xdr:from>
        <xdr:to>
          <xdr:col>9</xdr:col>
          <xdr:colOff>76200</xdr:colOff>
          <xdr:row>481</xdr:row>
          <xdr:rowOff>48986</xdr:rowOff>
        </xdr:to>
        <xdr:sp macro="" textlink="">
          <xdr:nvSpPr>
            <xdr:cNvPr id="8370" name="Option Button 178" hidden="1">
              <a:extLst>
                <a:ext uri="{63B3BB69-23CF-44E3-9099-C40C66FF867C}">
                  <a14:compatExt spid="_x0000_s8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481</xdr:row>
          <xdr:rowOff>48986</xdr:rowOff>
        </xdr:from>
        <xdr:to>
          <xdr:col>10</xdr:col>
          <xdr:colOff>27214</xdr:colOff>
          <xdr:row>483</xdr:row>
          <xdr:rowOff>48986</xdr:rowOff>
        </xdr:to>
        <xdr:sp macro="" textlink="">
          <xdr:nvSpPr>
            <xdr:cNvPr id="8371" name="Option Button 179" hidden="1">
              <a:extLst>
                <a:ext uri="{63B3BB69-23CF-44E3-9099-C40C66FF867C}">
                  <a14:compatExt spid="_x0000_s83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489</xdr:row>
          <xdr:rowOff>10886</xdr:rowOff>
        </xdr:from>
        <xdr:to>
          <xdr:col>10</xdr:col>
          <xdr:colOff>103414</xdr:colOff>
          <xdr:row>500</xdr:row>
          <xdr:rowOff>0</xdr:rowOff>
        </xdr:to>
        <xdr:sp macro="" textlink="">
          <xdr:nvSpPr>
            <xdr:cNvPr id="8372" name="Group Box 180" hidden="1">
              <a:extLst>
                <a:ext uri="{63B3BB69-23CF-44E3-9099-C40C66FF867C}">
                  <a14:compatExt spid="_x0000_s83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489</xdr:row>
          <xdr:rowOff>65314</xdr:rowOff>
        </xdr:from>
        <xdr:to>
          <xdr:col>10</xdr:col>
          <xdr:colOff>103414</xdr:colOff>
          <xdr:row>491</xdr:row>
          <xdr:rowOff>48986</xdr:rowOff>
        </xdr:to>
        <xdr:sp macro="" textlink="">
          <xdr:nvSpPr>
            <xdr:cNvPr id="8373" name="Option Button 181" hidden="1">
              <a:extLst>
                <a:ext uri="{63B3BB69-23CF-44E3-9099-C40C66FF867C}">
                  <a14:compatExt spid="_x0000_s8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DIAMOND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491</xdr:row>
          <xdr:rowOff>65314</xdr:rowOff>
        </xdr:from>
        <xdr:to>
          <xdr:col>10</xdr:col>
          <xdr:colOff>48986</xdr:colOff>
          <xdr:row>492</xdr:row>
          <xdr:rowOff>293914</xdr:rowOff>
        </xdr:to>
        <xdr:sp macro="" textlink="">
          <xdr:nvSpPr>
            <xdr:cNvPr id="8374" name="Option Button 182" hidden="1">
              <a:extLst>
                <a:ext uri="{63B3BB69-23CF-44E3-9099-C40C66FF867C}">
                  <a14:compatExt spid="_x0000_s8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PLATINUM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493</xdr:row>
          <xdr:rowOff>48986</xdr:rowOff>
        </xdr:from>
        <xdr:to>
          <xdr:col>9</xdr:col>
          <xdr:colOff>76200</xdr:colOff>
          <xdr:row>494</xdr:row>
          <xdr:rowOff>266700</xdr:rowOff>
        </xdr:to>
        <xdr:sp macro="" textlink="">
          <xdr:nvSpPr>
            <xdr:cNvPr id="8375" name="Option Button 183" hidden="1">
              <a:extLst>
                <a:ext uri="{63B3BB69-23CF-44E3-9099-C40C66FF867C}">
                  <a14:compatExt spid="_x0000_s8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GOLD MEDAL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495</xdr:row>
          <xdr:rowOff>48986</xdr:rowOff>
        </xdr:from>
        <xdr:to>
          <xdr:col>9</xdr:col>
          <xdr:colOff>76200</xdr:colOff>
          <xdr:row>497</xdr:row>
          <xdr:rowOff>48986</xdr:rowOff>
        </xdr:to>
        <xdr:sp macro="" textlink="">
          <xdr:nvSpPr>
            <xdr:cNvPr id="8376" name="Option Button 184" hidden="1">
              <a:extLst>
                <a:ext uri="{63B3BB69-23CF-44E3-9099-C40C66FF867C}">
                  <a14:compatExt spid="_x0000_s8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YELLOW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179614</xdr:colOff>
          <xdr:row>497</xdr:row>
          <xdr:rowOff>48986</xdr:rowOff>
        </xdr:from>
        <xdr:to>
          <xdr:col>10</xdr:col>
          <xdr:colOff>27214</xdr:colOff>
          <xdr:row>499</xdr:row>
          <xdr:rowOff>48986</xdr:rowOff>
        </xdr:to>
        <xdr:sp macro="" textlink="">
          <xdr:nvSpPr>
            <xdr:cNvPr id="8377" name="Option Button 185" hidden="1">
              <a:extLst>
                <a:ext uri="{63B3BB69-23CF-44E3-9099-C40C66FF867C}">
                  <a14:compatExt spid="_x0000_s8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RED FLAG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115</xdr:row>
          <xdr:rowOff>10886</xdr:rowOff>
        </xdr:from>
        <xdr:to>
          <xdr:col>7</xdr:col>
          <xdr:colOff>190500</xdr:colOff>
          <xdr:row>116</xdr:row>
          <xdr:rowOff>228600</xdr:rowOff>
        </xdr:to>
        <xdr:sp macro="" textlink="">
          <xdr:nvSpPr>
            <xdr:cNvPr id="8454" name="Group Box 262" hidden="1">
              <a:extLst>
                <a:ext uri="{63B3BB69-23CF-44E3-9099-C40C66FF867C}">
                  <a14:compatExt spid="_x0000_s84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115</xdr:row>
          <xdr:rowOff>48986</xdr:rowOff>
        </xdr:from>
        <xdr:to>
          <xdr:col>4</xdr:col>
          <xdr:colOff>163286</xdr:colOff>
          <xdr:row>116</xdr:row>
          <xdr:rowOff>228600</xdr:rowOff>
        </xdr:to>
        <xdr:sp macro="" textlink="">
          <xdr:nvSpPr>
            <xdr:cNvPr id="8455" name="Option Button 263" hidden="1">
              <a:extLst>
                <a:ext uri="{63B3BB69-23CF-44E3-9099-C40C66FF867C}">
                  <a14:compatExt spid="_x0000_s84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115</xdr:row>
          <xdr:rowOff>38100</xdr:rowOff>
        </xdr:from>
        <xdr:to>
          <xdr:col>6</xdr:col>
          <xdr:colOff>76200</xdr:colOff>
          <xdr:row>116</xdr:row>
          <xdr:rowOff>217714</xdr:rowOff>
        </xdr:to>
        <xdr:sp macro="" textlink="">
          <xdr:nvSpPr>
            <xdr:cNvPr id="8456" name="Option Button 264" hidden="1">
              <a:extLst>
                <a:ext uri="{63B3BB69-23CF-44E3-9099-C40C66FF867C}">
                  <a14:compatExt spid="_x0000_s8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115</xdr:row>
          <xdr:rowOff>38100</xdr:rowOff>
        </xdr:from>
        <xdr:to>
          <xdr:col>7</xdr:col>
          <xdr:colOff>179614</xdr:colOff>
          <xdr:row>116</xdr:row>
          <xdr:rowOff>217714</xdr:rowOff>
        </xdr:to>
        <xdr:sp macro="" textlink="">
          <xdr:nvSpPr>
            <xdr:cNvPr id="8457" name="Option Button 265" hidden="1">
              <a:extLst>
                <a:ext uri="{63B3BB69-23CF-44E3-9099-C40C66FF867C}">
                  <a14:compatExt spid="_x0000_s8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119</xdr:row>
          <xdr:rowOff>10886</xdr:rowOff>
        </xdr:from>
        <xdr:to>
          <xdr:col>7</xdr:col>
          <xdr:colOff>190500</xdr:colOff>
          <xdr:row>120</xdr:row>
          <xdr:rowOff>228600</xdr:rowOff>
        </xdr:to>
        <xdr:sp macro="" textlink="">
          <xdr:nvSpPr>
            <xdr:cNvPr id="8462" name="Group Box 270" hidden="1">
              <a:extLst>
                <a:ext uri="{63B3BB69-23CF-44E3-9099-C40C66FF867C}">
                  <a14:compatExt spid="_x0000_s84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119</xdr:row>
          <xdr:rowOff>38100</xdr:rowOff>
        </xdr:from>
        <xdr:to>
          <xdr:col>4</xdr:col>
          <xdr:colOff>163286</xdr:colOff>
          <xdr:row>120</xdr:row>
          <xdr:rowOff>217714</xdr:rowOff>
        </xdr:to>
        <xdr:sp macro="" textlink="">
          <xdr:nvSpPr>
            <xdr:cNvPr id="8463" name="Option Button 271" hidden="1">
              <a:extLst>
                <a:ext uri="{63B3BB69-23CF-44E3-9099-C40C66FF867C}">
                  <a14:compatExt spid="_x0000_s84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119</xdr:row>
          <xdr:rowOff>38100</xdr:rowOff>
        </xdr:from>
        <xdr:to>
          <xdr:col>6</xdr:col>
          <xdr:colOff>76200</xdr:colOff>
          <xdr:row>120</xdr:row>
          <xdr:rowOff>217714</xdr:rowOff>
        </xdr:to>
        <xdr:sp macro="" textlink="">
          <xdr:nvSpPr>
            <xdr:cNvPr id="8464" name="Option Button 272" hidden="1">
              <a:extLst>
                <a:ext uri="{63B3BB69-23CF-44E3-9099-C40C66FF867C}">
                  <a14:compatExt spid="_x0000_s84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119</xdr:row>
          <xdr:rowOff>38100</xdr:rowOff>
        </xdr:from>
        <xdr:to>
          <xdr:col>7</xdr:col>
          <xdr:colOff>179614</xdr:colOff>
          <xdr:row>120</xdr:row>
          <xdr:rowOff>217714</xdr:rowOff>
        </xdr:to>
        <xdr:sp macro="" textlink="">
          <xdr:nvSpPr>
            <xdr:cNvPr id="8465" name="Option Button 273" hidden="1">
              <a:extLst>
                <a:ext uri="{63B3BB69-23CF-44E3-9099-C40C66FF867C}">
                  <a14:compatExt spid="_x0000_s84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113</xdr:row>
          <xdr:rowOff>10886</xdr:rowOff>
        </xdr:from>
        <xdr:to>
          <xdr:col>7</xdr:col>
          <xdr:colOff>190500</xdr:colOff>
          <xdr:row>115</xdr:row>
          <xdr:rowOff>10886</xdr:rowOff>
        </xdr:to>
        <xdr:sp macro="" textlink="">
          <xdr:nvSpPr>
            <xdr:cNvPr id="8466" name="Group Box 274" hidden="1">
              <a:extLst>
                <a:ext uri="{63B3BB69-23CF-44E3-9099-C40C66FF867C}">
                  <a14:compatExt spid="_x0000_s84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113</xdr:row>
          <xdr:rowOff>38100</xdr:rowOff>
        </xdr:from>
        <xdr:to>
          <xdr:col>4</xdr:col>
          <xdr:colOff>163286</xdr:colOff>
          <xdr:row>115</xdr:row>
          <xdr:rowOff>0</xdr:rowOff>
        </xdr:to>
        <xdr:sp macro="" textlink="">
          <xdr:nvSpPr>
            <xdr:cNvPr id="8467" name="Option Button 275" hidden="1">
              <a:extLst>
                <a:ext uri="{63B3BB69-23CF-44E3-9099-C40C66FF867C}">
                  <a14:compatExt spid="_x0000_s8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113</xdr:row>
          <xdr:rowOff>38100</xdr:rowOff>
        </xdr:from>
        <xdr:to>
          <xdr:col>6</xdr:col>
          <xdr:colOff>76200</xdr:colOff>
          <xdr:row>115</xdr:row>
          <xdr:rowOff>0</xdr:rowOff>
        </xdr:to>
        <xdr:sp macro="" textlink="">
          <xdr:nvSpPr>
            <xdr:cNvPr id="8468" name="Option Button 276" hidden="1">
              <a:extLst>
                <a:ext uri="{63B3BB69-23CF-44E3-9099-C40C66FF867C}">
                  <a14:compatExt spid="_x0000_s8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113</xdr:row>
          <xdr:rowOff>38100</xdr:rowOff>
        </xdr:from>
        <xdr:to>
          <xdr:col>7</xdr:col>
          <xdr:colOff>179614</xdr:colOff>
          <xdr:row>115</xdr:row>
          <xdr:rowOff>0</xdr:rowOff>
        </xdr:to>
        <xdr:sp macro="" textlink="">
          <xdr:nvSpPr>
            <xdr:cNvPr id="8469" name="Option Button 277" hidden="1">
              <a:extLst>
                <a:ext uri="{63B3BB69-23CF-44E3-9099-C40C66FF867C}">
                  <a14:compatExt spid="_x0000_s8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127</xdr:row>
          <xdr:rowOff>10886</xdr:rowOff>
        </xdr:from>
        <xdr:to>
          <xdr:col>7</xdr:col>
          <xdr:colOff>190500</xdr:colOff>
          <xdr:row>129</xdr:row>
          <xdr:rowOff>10886</xdr:rowOff>
        </xdr:to>
        <xdr:sp macro="" textlink="">
          <xdr:nvSpPr>
            <xdr:cNvPr id="8470" name="Group Box 278" hidden="1">
              <a:extLst>
                <a:ext uri="{63B3BB69-23CF-44E3-9099-C40C66FF867C}">
                  <a14:compatExt spid="_x0000_s84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127</xdr:row>
          <xdr:rowOff>27214</xdr:rowOff>
        </xdr:from>
        <xdr:to>
          <xdr:col>4</xdr:col>
          <xdr:colOff>163286</xdr:colOff>
          <xdr:row>128</xdr:row>
          <xdr:rowOff>201386</xdr:rowOff>
        </xdr:to>
        <xdr:sp macro="" textlink="">
          <xdr:nvSpPr>
            <xdr:cNvPr id="8471" name="Option Button 279" hidden="1">
              <a:extLst>
                <a:ext uri="{63B3BB69-23CF-44E3-9099-C40C66FF867C}">
                  <a14:compatExt spid="_x0000_s8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127</xdr:row>
          <xdr:rowOff>27214</xdr:rowOff>
        </xdr:from>
        <xdr:to>
          <xdr:col>6</xdr:col>
          <xdr:colOff>76200</xdr:colOff>
          <xdr:row>128</xdr:row>
          <xdr:rowOff>201386</xdr:rowOff>
        </xdr:to>
        <xdr:sp macro="" textlink="">
          <xdr:nvSpPr>
            <xdr:cNvPr id="8472" name="Option Button 280" hidden="1">
              <a:extLst>
                <a:ext uri="{63B3BB69-23CF-44E3-9099-C40C66FF867C}">
                  <a14:compatExt spid="_x0000_s8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127</xdr:row>
          <xdr:rowOff>27214</xdr:rowOff>
        </xdr:from>
        <xdr:to>
          <xdr:col>7</xdr:col>
          <xdr:colOff>179614</xdr:colOff>
          <xdr:row>128</xdr:row>
          <xdr:rowOff>201386</xdr:rowOff>
        </xdr:to>
        <xdr:sp macro="" textlink="">
          <xdr:nvSpPr>
            <xdr:cNvPr id="8473" name="Option Button 281" hidden="1">
              <a:extLst>
                <a:ext uri="{63B3BB69-23CF-44E3-9099-C40C66FF867C}">
                  <a14:compatExt spid="_x0000_s8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129</xdr:row>
          <xdr:rowOff>10886</xdr:rowOff>
        </xdr:from>
        <xdr:to>
          <xdr:col>7</xdr:col>
          <xdr:colOff>190500</xdr:colOff>
          <xdr:row>130</xdr:row>
          <xdr:rowOff>228600</xdr:rowOff>
        </xdr:to>
        <xdr:sp macro="" textlink="">
          <xdr:nvSpPr>
            <xdr:cNvPr id="8474" name="Group Box 282" hidden="1">
              <a:extLst>
                <a:ext uri="{63B3BB69-23CF-44E3-9099-C40C66FF867C}">
                  <a14:compatExt spid="_x0000_s84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129</xdr:row>
          <xdr:rowOff>48986</xdr:rowOff>
        </xdr:from>
        <xdr:to>
          <xdr:col>4</xdr:col>
          <xdr:colOff>163286</xdr:colOff>
          <xdr:row>130</xdr:row>
          <xdr:rowOff>228600</xdr:rowOff>
        </xdr:to>
        <xdr:sp macro="" textlink="">
          <xdr:nvSpPr>
            <xdr:cNvPr id="8475" name="Option Button 283" hidden="1">
              <a:extLst>
                <a:ext uri="{63B3BB69-23CF-44E3-9099-C40C66FF867C}">
                  <a14:compatExt spid="_x0000_s8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129</xdr:row>
          <xdr:rowOff>48986</xdr:rowOff>
        </xdr:from>
        <xdr:to>
          <xdr:col>6</xdr:col>
          <xdr:colOff>76200</xdr:colOff>
          <xdr:row>130</xdr:row>
          <xdr:rowOff>228600</xdr:rowOff>
        </xdr:to>
        <xdr:sp macro="" textlink="">
          <xdr:nvSpPr>
            <xdr:cNvPr id="8476" name="Option Button 284" hidden="1">
              <a:extLst>
                <a:ext uri="{63B3BB69-23CF-44E3-9099-C40C66FF867C}">
                  <a14:compatExt spid="_x0000_s8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129</xdr:row>
          <xdr:rowOff>48986</xdr:rowOff>
        </xdr:from>
        <xdr:to>
          <xdr:col>7</xdr:col>
          <xdr:colOff>179614</xdr:colOff>
          <xdr:row>130</xdr:row>
          <xdr:rowOff>228600</xdr:rowOff>
        </xdr:to>
        <xdr:sp macro="" textlink="">
          <xdr:nvSpPr>
            <xdr:cNvPr id="8477" name="Option Button 285" hidden="1">
              <a:extLst>
                <a:ext uri="{63B3BB69-23CF-44E3-9099-C40C66FF867C}">
                  <a14:compatExt spid="_x0000_s8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123</xdr:row>
          <xdr:rowOff>10886</xdr:rowOff>
        </xdr:from>
        <xdr:to>
          <xdr:col>7</xdr:col>
          <xdr:colOff>190500</xdr:colOff>
          <xdr:row>125</xdr:row>
          <xdr:rowOff>10886</xdr:rowOff>
        </xdr:to>
        <xdr:sp macro="" textlink="">
          <xdr:nvSpPr>
            <xdr:cNvPr id="8492" name="Group Box 300" hidden="1">
              <a:extLst>
                <a:ext uri="{63B3BB69-23CF-44E3-9099-C40C66FF867C}">
                  <a14:compatExt spid="_x0000_s84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123</xdr:row>
          <xdr:rowOff>38100</xdr:rowOff>
        </xdr:from>
        <xdr:to>
          <xdr:col>4</xdr:col>
          <xdr:colOff>163286</xdr:colOff>
          <xdr:row>125</xdr:row>
          <xdr:rowOff>0</xdr:rowOff>
        </xdr:to>
        <xdr:sp macro="" textlink="">
          <xdr:nvSpPr>
            <xdr:cNvPr id="8493" name="Option Button 301" hidden="1">
              <a:extLst>
                <a:ext uri="{63B3BB69-23CF-44E3-9099-C40C66FF867C}">
                  <a14:compatExt spid="_x0000_s8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123</xdr:row>
          <xdr:rowOff>38100</xdr:rowOff>
        </xdr:from>
        <xdr:to>
          <xdr:col>6</xdr:col>
          <xdr:colOff>76200</xdr:colOff>
          <xdr:row>125</xdr:row>
          <xdr:rowOff>0</xdr:rowOff>
        </xdr:to>
        <xdr:sp macro="" textlink="">
          <xdr:nvSpPr>
            <xdr:cNvPr id="8494" name="Option Button 302" hidden="1">
              <a:extLst>
                <a:ext uri="{63B3BB69-23CF-44E3-9099-C40C66FF867C}">
                  <a14:compatExt spid="_x0000_s84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123</xdr:row>
          <xdr:rowOff>38100</xdr:rowOff>
        </xdr:from>
        <xdr:to>
          <xdr:col>7</xdr:col>
          <xdr:colOff>179614</xdr:colOff>
          <xdr:row>125</xdr:row>
          <xdr:rowOff>0</xdr:rowOff>
        </xdr:to>
        <xdr:sp macro="" textlink="">
          <xdr:nvSpPr>
            <xdr:cNvPr id="8495" name="Option Button 303" hidden="1">
              <a:extLst>
                <a:ext uri="{63B3BB69-23CF-44E3-9099-C40C66FF867C}">
                  <a14:compatExt spid="_x0000_s84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125</xdr:row>
          <xdr:rowOff>10886</xdr:rowOff>
        </xdr:from>
        <xdr:to>
          <xdr:col>7</xdr:col>
          <xdr:colOff>190500</xdr:colOff>
          <xdr:row>126</xdr:row>
          <xdr:rowOff>228600</xdr:rowOff>
        </xdr:to>
        <xdr:sp macro="" textlink="">
          <xdr:nvSpPr>
            <xdr:cNvPr id="8496" name="Group Box 304" hidden="1">
              <a:extLst>
                <a:ext uri="{63B3BB69-23CF-44E3-9099-C40C66FF867C}">
                  <a14:compatExt spid="_x0000_s84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125</xdr:row>
          <xdr:rowOff>48986</xdr:rowOff>
        </xdr:from>
        <xdr:to>
          <xdr:col>4</xdr:col>
          <xdr:colOff>163286</xdr:colOff>
          <xdr:row>126</xdr:row>
          <xdr:rowOff>228600</xdr:rowOff>
        </xdr:to>
        <xdr:sp macro="" textlink="">
          <xdr:nvSpPr>
            <xdr:cNvPr id="8497" name="Option Button 305" hidden="1">
              <a:extLst>
                <a:ext uri="{63B3BB69-23CF-44E3-9099-C40C66FF867C}">
                  <a14:compatExt spid="_x0000_s84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125</xdr:row>
          <xdr:rowOff>48986</xdr:rowOff>
        </xdr:from>
        <xdr:to>
          <xdr:col>6</xdr:col>
          <xdr:colOff>76200</xdr:colOff>
          <xdr:row>126</xdr:row>
          <xdr:rowOff>228600</xdr:rowOff>
        </xdr:to>
        <xdr:sp macro="" textlink="">
          <xdr:nvSpPr>
            <xdr:cNvPr id="8498" name="Option Button 306" hidden="1">
              <a:extLst>
                <a:ext uri="{63B3BB69-23CF-44E3-9099-C40C66FF867C}">
                  <a14:compatExt spid="_x0000_s84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125</xdr:row>
          <xdr:rowOff>48986</xdr:rowOff>
        </xdr:from>
        <xdr:to>
          <xdr:col>7</xdr:col>
          <xdr:colOff>179614</xdr:colOff>
          <xdr:row>126</xdr:row>
          <xdr:rowOff>228600</xdr:rowOff>
        </xdr:to>
        <xdr:sp macro="" textlink="">
          <xdr:nvSpPr>
            <xdr:cNvPr id="8499" name="Option Button 307" hidden="1">
              <a:extLst>
                <a:ext uri="{63B3BB69-23CF-44E3-9099-C40C66FF867C}">
                  <a14:compatExt spid="_x0000_s84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90</xdr:row>
          <xdr:rowOff>10886</xdr:rowOff>
        </xdr:from>
        <xdr:to>
          <xdr:col>7</xdr:col>
          <xdr:colOff>190500</xdr:colOff>
          <xdr:row>92</xdr:row>
          <xdr:rowOff>10886</xdr:rowOff>
        </xdr:to>
        <xdr:sp macro="" textlink="">
          <xdr:nvSpPr>
            <xdr:cNvPr id="8506" name="Group Box 314" hidden="1">
              <a:extLst>
                <a:ext uri="{63B3BB69-23CF-44E3-9099-C40C66FF867C}">
                  <a14:compatExt spid="_x0000_s85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90</xdr:row>
          <xdr:rowOff>27214</xdr:rowOff>
        </xdr:from>
        <xdr:to>
          <xdr:col>4</xdr:col>
          <xdr:colOff>163286</xdr:colOff>
          <xdr:row>91</xdr:row>
          <xdr:rowOff>201386</xdr:rowOff>
        </xdr:to>
        <xdr:sp macro="" textlink="">
          <xdr:nvSpPr>
            <xdr:cNvPr id="8507" name="Option Button 315" hidden="1">
              <a:extLst>
                <a:ext uri="{63B3BB69-23CF-44E3-9099-C40C66FF867C}">
                  <a14:compatExt spid="_x0000_s8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90</xdr:row>
          <xdr:rowOff>27214</xdr:rowOff>
        </xdr:from>
        <xdr:to>
          <xdr:col>6</xdr:col>
          <xdr:colOff>76200</xdr:colOff>
          <xdr:row>91</xdr:row>
          <xdr:rowOff>201386</xdr:rowOff>
        </xdr:to>
        <xdr:sp macro="" textlink="">
          <xdr:nvSpPr>
            <xdr:cNvPr id="8508" name="Option Button 316" hidden="1">
              <a:extLst>
                <a:ext uri="{63B3BB69-23CF-44E3-9099-C40C66FF867C}">
                  <a14:compatExt spid="_x0000_s85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90</xdr:row>
          <xdr:rowOff>27214</xdr:rowOff>
        </xdr:from>
        <xdr:to>
          <xdr:col>7</xdr:col>
          <xdr:colOff>179614</xdr:colOff>
          <xdr:row>91</xdr:row>
          <xdr:rowOff>201386</xdr:rowOff>
        </xdr:to>
        <xdr:sp macro="" textlink="">
          <xdr:nvSpPr>
            <xdr:cNvPr id="8509" name="Option Button 317" hidden="1">
              <a:extLst>
                <a:ext uri="{63B3BB69-23CF-44E3-9099-C40C66FF867C}">
                  <a14:compatExt spid="_x0000_s8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92</xdr:row>
          <xdr:rowOff>10886</xdr:rowOff>
        </xdr:from>
        <xdr:to>
          <xdr:col>7</xdr:col>
          <xdr:colOff>190500</xdr:colOff>
          <xdr:row>93</xdr:row>
          <xdr:rowOff>228600</xdr:rowOff>
        </xdr:to>
        <xdr:sp macro="" textlink="">
          <xdr:nvSpPr>
            <xdr:cNvPr id="8510" name="Group Box 318" hidden="1">
              <a:extLst>
                <a:ext uri="{63B3BB69-23CF-44E3-9099-C40C66FF867C}">
                  <a14:compatExt spid="_x0000_s85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92</xdr:row>
          <xdr:rowOff>48986</xdr:rowOff>
        </xdr:from>
        <xdr:to>
          <xdr:col>4</xdr:col>
          <xdr:colOff>163286</xdr:colOff>
          <xdr:row>93</xdr:row>
          <xdr:rowOff>228600</xdr:rowOff>
        </xdr:to>
        <xdr:sp macro="" textlink="">
          <xdr:nvSpPr>
            <xdr:cNvPr id="8511" name="Option Button 319" hidden="1">
              <a:extLst>
                <a:ext uri="{63B3BB69-23CF-44E3-9099-C40C66FF867C}">
                  <a14:compatExt spid="_x0000_s85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92</xdr:row>
          <xdr:rowOff>48986</xdr:rowOff>
        </xdr:from>
        <xdr:to>
          <xdr:col>6</xdr:col>
          <xdr:colOff>76200</xdr:colOff>
          <xdr:row>93</xdr:row>
          <xdr:rowOff>228600</xdr:rowOff>
        </xdr:to>
        <xdr:sp macro="" textlink="">
          <xdr:nvSpPr>
            <xdr:cNvPr id="8512" name="Option Button 320" hidden="1">
              <a:extLst>
                <a:ext uri="{63B3BB69-23CF-44E3-9099-C40C66FF867C}">
                  <a14:compatExt spid="_x0000_s8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92</xdr:row>
          <xdr:rowOff>48986</xdr:rowOff>
        </xdr:from>
        <xdr:to>
          <xdr:col>7</xdr:col>
          <xdr:colOff>179614</xdr:colOff>
          <xdr:row>93</xdr:row>
          <xdr:rowOff>228600</xdr:rowOff>
        </xdr:to>
        <xdr:sp macro="" textlink="">
          <xdr:nvSpPr>
            <xdr:cNvPr id="8513" name="Option Button 321" hidden="1">
              <a:extLst>
                <a:ext uri="{63B3BB69-23CF-44E3-9099-C40C66FF867C}">
                  <a14:compatExt spid="_x0000_s8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86</xdr:row>
          <xdr:rowOff>10886</xdr:rowOff>
        </xdr:from>
        <xdr:to>
          <xdr:col>7</xdr:col>
          <xdr:colOff>190500</xdr:colOff>
          <xdr:row>87</xdr:row>
          <xdr:rowOff>228600</xdr:rowOff>
        </xdr:to>
        <xdr:sp macro="" textlink="">
          <xdr:nvSpPr>
            <xdr:cNvPr id="8514" name="Group Box 322" hidden="1">
              <a:extLst>
                <a:ext uri="{63B3BB69-23CF-44E3-9099-C40C66FF867C}">
                  <a14:compatExt spid="_x0000_s85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86</xdr:row>
          <xdr:rowOff>38100</xdr:rowOff>
        </xdr:from>
        <xdr:to>
          <xdr:col>4</xdr:col>
          <xdr:colOff>163286</xdr:colOff>
          <xdr:row>87</xdr:row>
          <xdr:rowOff>217714</xdr:rowOff>
        </xdr:to>
        <xdr:sp macro="" textlink="">
          <xdr:nvSpPr>
            <xdr:cNvPr id="8515" name="Option Button 323" hidden="1">
              <a:extLst>
                <a:ext uri="{63B3BB69-23CF-44E3-9099-C40C66FF867C}">
                  <a14:compatExt spid="_x0000_s8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86</xdr:row>
          <xdr:rowOff>38100</xdr:rowOff>
        </xdr:from>
        <xdr:to>
          <xdr:col>6</xdr:col>
          <xdr:colOff>76200</xdr:colOff>
          <xdr:row>87</xdr:row>
          <xdr:rowOff>217714</xdr:rowOff>
        </xdr:to>
        <xdr:sp macro="" textlink="">
          <xdr:nvSpPr>
            <xdr:cNvPr id="8516" name="Option Button 324" hidden="1">
              <a:extLst>
                <a:ext uri="{63B3BB69-23CF-44E3-9099-C40C66FF867C}">
                  <a14:compatExt spid="_x0000_s8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86</xdr:row>
          <xdr:rowOff>38100</xdr:rowOff>
        </xdr:from>
        <xdr:to>
          <xdr:col>7</xdr:col>
          <xdr:colOff>179614</xdr:colOff>
          <xdr:row>87</xdr:row>
          <xdr:rowOff>217714</xdr:rowOff>
        </xdr:to>
        <xdr:sp macro="" textlink="">
          <xdr:nvSpPr>
            <xdr:cNvPr id="8517" name="Option Button 325" hidden="1">
              <a:extLst>
                <a:ext uri="{63B3BB69-23CF-44E3-9099-C40C66FF867C}">
                  <a14:compatExt spid="_x0000_s8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88</xdr:row>
          <xdr:rowOff>10886</xdr:rowOff>
        </xdr:from>
        <xdr:to>
          <xdr:col>7</xdr:col>
          <xdr:colOff>190500</xdr:colOff>
          <xdr:row>89</xdr:row>
          <xdr:rowOff>228600</xdr:rowOff>
        </xdr:to>
        <xdr:sp macro="" textlink="">
          <xdr:nvSpPr>
            <xdr:cNvPr id="8518" name="Group Box 326" hidden="1">
              <a:extLst>
                <a:ext uri="{63B3BB69-23CF-44E3-9099-C40C66FF867C}">
                  <a14:compatExt spid="_x0000_s85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88</xdr:row>
          <xdr:rowOff>48986</xdr:rowOff>
        </xdr:from>
        <xdr:to>
          <xdr:col>4</xdr:col>
          <xdr:colOff>163286</xdr:colOff>
          <xdr:row>89</xdr:row>
          <xdr:rowOff>228600</xdr:rowOff>
        </xdr:to>
        <xdr:sp macro="" textlink="">
          <xdr:nvSpPr>
            <xdr:cNvPr id="8519" name="Option Button 327" hidden="1">
              <a:extLst>
                <a:ext uri="{63B3BB69-23CF-44E3-9099-C40C66FF867C}">
                  <a14:compatExt spid="_x0000_s8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88</xdr:row>
          <xdr:rowOff>48986</xdr:rowOff>
        </xdr:from>
        <xdr:to>
          <xdr:col>6</xdr:col>
          <xdr:colOff>76200</xdr:colOff>
          <xdr:row>89</xdr:row>
          <xdr:rowOff>228600</xdr:rowOff>
        </xdr:to>
        <xdr:sp macro="" textlink="">
          <xdr:nvSpPr>
            <xdr:cNvPr id="8520" name="Option Button 328" hidden="1">
              <a:extLst>
                <a:ext uri="{63B3BB69-23CF-44E3-9099-C40C66FF867C}">
                  <a14:compatExt spid="_x0000_s8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88</xdr:row>
          <xdr:rowOff>48986</xdr:rowOff>
        </xdr:from>
        <xdr:to>
          <xdr:col>7</xdr:col>
          <xdr:colOff>179614</xdr:colOff>
          <xdr:row>89</xdr:row>
          <xdr:rowOff>228600</xdr:rowOff>
        </xdr:to>
        <xdr:sp macro="" textlink="">
          <xdr:nvSpPr>
            <xdr:cNvPr id="8521" name="Option Button 329" hidden="1">
              <a:extLst>
                <a:ext uri="{63B3BB69-23CF-44E3-9099-C40C66FF867C}">
                  <a14:compatExt spid="_x0000_s8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98</xdr:row>
          <xdr:rowOff>10886</xdr:rowOff>
        </xdr:from>
        <xdr:to>
          <xdr:col>7</xdr:col>
          <xdr:colOff>190500</xdr:colOff>
          <xdr:row>99</xdr:row>
          <xdr:rowOff>228600</xdr:rowOff>
        </xdr:to>
        <xdr:sp macro="" textlink="">
          <xdr:nvSpPr>
            <xdr:cNvPr id="8522" name="Group Box 330" hidden="1">
              <a:extLst>
                <a:ext uri="{63B3BB69-23CF-44E3-9099-C40C66FF867C}">
                  <a14:compatExt spid="_x0000_s85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98</xdr:row>
          <xdr:rowOff>48986</xdr:rowOff>
        </xdr:from>
        <xdr:to>
          <xdr:col>4</xdr:col>
          <xdr:colOff>163286</xdr:colOff>
          <xdr:row>99</xdr:row>
          <xdr:rowOff>228600</xdr:rowOff>
        </xdr:to>
        <xdr:sp macro="" textlink="">
          <xdr:nvSpPr>
            <xdr:cNvPr id="8523" name="Option Button 331" hidden="1">
              <a:extLst>
                <a:ext uri="{63B3BB69-23CF-44E3-9099-C40C66FF867C}">
                  <a14:compatExt spid="_x0000_s85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98</xdr:row>
          <xdr:rowOff>38100</xdr:rowOff>
        </xdr:from>
        <xdr:to>
          <xdr:col>6</xdr:col>
          <xdr:colOff>76200</xdr:colOff>
          <xdr:row>99</xdr:row>
          <xdr:rowOff>217714</xdr:rowOff>
        </xdr:to>
        <xdr:sp macro="" textlink="">
          <xdr:nvSpPr>
            <xdr:cNvPr id="8524" name="Option Button 332" hidden="1">
              <a:extLst>
                <a:ext uri="{63B3BB69-23CF-44E3-9099-C40C66FF867C}">
                  <a14:compatExt spid="_x0000_s8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98</xdr:row>
          <xdr:rowOff>38100</xdr:rowOff>
        </xdr:from>
        <xdr:to>
          <xdr:col>7</xdr:col>
          <xdr:colOff>179614</xdr:colOff>
          <xdr:row>99</xdr:row>
          <xdr:rowOff>217714</xdr:rowOff>
        </xdr:to>
        <xdr:sp macro="" textlink="">
          <xdr:nvSpPr>
            <xdr:cNvPr id="8525" name="Option Button 333" hidden="1">
              <a:extLst>
                <a:ext uri="{63B3BB69-23CF-44E3-9099-C40C66FF867C}">
                  <a14:compatExt spid="_x0000_s8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96</xdr:row>
          <xdr:rowOff>10886</xdr:rowOff>
        </xdr:from>
        <xdr:to>
          <xdr:col>7</xdr:col>
          <xdr:colOff>190500</xdr:colOff>
          <xdr:row>98</xdr:row>
          <xdr:rowOff>10886</xdr:rowOff>
        </xdr:to>
        <xdr:sp macro="" textlink="">
          <xdr:nvSpPr>
            <xdr:cNvPr id="8526" name="Group Box 334" hidden="1">
              <a:extLst>
                <a:ext uri="{63B3BB69-23CF-44E3-9099-C40C66FF867C}">
                  <a14:compatExt spid="_x0000_s85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96</xdr:row>
          <xdr:rowOff>38100</xdr:rowOff>
        </xdr:from>
        <xdr:to>
          <xdr:col>4</xdr:col>
          <xdr:colOff>163286</xdr:colOff>
          <xdr:row>98</xdr:row>
          <xdr:rowOff>0</xdr:rowOff>
        </xdr:to>
        <xdr:sp macro="" textlink="">
          <xdr:nvSpPr>
            <xdr:cNvPr id="8527" name="Option Button 335" hidden="1">
              <a:extLst>
                <a:ext uri="{63B3BB69-23CF-44E3-9099-C40C66FF867C}">
                  <a14:compatExt spid="_x0000_s8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96</xdr:row>
          <xdr:rowOff>38100</xdr:rowOff>
        </xdr:from>
        <xdr:to>
          <xdr:col>6</xdr:col>
          <xdr:colOff>76200</xdr:colOff>
          <xdr:row>98</xdr:row>
          <xdr:rowOff>0</xdr:rowOff>
        </xdr:to>
        <xdr:sp macro="" textlink="">
          <xdr:nvSpPr>
            <xdr:cNvPr id="8528" name="Option Button 336" hidden="1">
              <a:extLst>
                <a:ext uri="{63B3BB69-23CF-44E3-9099-C40C66FF867C}">
                  <a14:compatExt spid="_x0000_s8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96</xdr:row>
          <xdr:rowOff>38100</xdr:rowOff>
        </xdr:from>
        <xdr:to>
          <xdr:col>7</xdr:col>
          <xdr:colOff>179614</xdr:colOff>
          <xdr:row>98</xdr:row>
          <xdr:rowOff>0</xdr:rowOff>
        </xdr:to>
        <xdr:sp macro="" textlink="">
          <xdr:nvSpPr>
            <xdr:cNvPr id="8529" name="Option Button 337" hidden="1">
              <a:extLst>
                <a:ext uri="{63B3BB69-23CF-44E3-9099-C40C66FF867C}">
                  <a14:compatExt spid="_x0000_s8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102</xdr:row>
          <xdr:rowOff>10886</xdr:rowOff>
        </xdr:from>
        <xdr:to>
          <xdr:col>7</xdr:col>
          <xdr:colOff>190500</xdr:colOff>
          <xdr:row>104</xdr:row>
          <xdr:rowOff>10886</xdr:rowOff>
        </xdr:to>
        <xdr:sp macro="" textlink="">
          <xdr:nvSpPr>
            <xdr:cNvPr id="8530" name="Group Box 338" hidden="1">
              <a:extLst>
                <a:ext uri="{63B3BB69-23CF-44E3-9099-C40C66FF867C}">
                  <a14:compatExt spid="_x0000_s8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102</xdr:row>
          <xdr:rowOff>38100</xdr:rowOff>
        </xdr:from>
        <xdr:to>
          <xdr:col>4</xdr:col>
          <xdr:colOff>163286</xdr:colOff>
          <xdr:row>104</xdr:row>
          <xdr:rowOff>0</xdr:rowOff>
        </xdr:to>
        <xdr:sp macro="" textlink="">
          <xdr:nvSpPr>
            <xdr:cNvPr id="8531" name="Option Button 339" hidden="1">
              <a:extLst>
                <a:ext uri="{63B3BB69-23CF-44E3-9099-C40C66FF867C}">
                  <a14:compatExt spid="_x0000_s8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102</xdr:row>
          <xdr:rowOff>38100</xdr:rowOff>
        </xdr:from>
        <xdr:to>
          <xdr:col>6</xdr:col>
          <xdr:colOff>76200</xdr:colOff>
          <xdr:row>104</xdr:row>
          <xdr:rowOff>0</xdr:rowOff>
        </xdr:to>
        <xdr:sp macro="" textlink="">
          <xdr:nvSpPr>
            <xdr:cNvPr id="8532" name="Option Button 340" hidden="1">
              <a:extLst>
                <a:ext uri="{63B3BB69-23CF-44E3-9099-C40C66FF867C}">
                  <a14:compatExt spid="_x0000_s8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102</xdr:row>
          <xdr:rowOff>38100</xdr:rowOff>
        </xdr:from>
        <xdr:to>
          <xdr:col>7</xdr:col>
          <xdr:colOff>179614</xdr:colOff>
          <xdr:row>104</xdr:row>
          <xdr:rowOff>0</xdr:rowOff>
        </xdr:to>
        <xdr:sp macro="" textlink="">
          <xdr:nvSpPr>
            <xdr:cNvPr id="8533" name="Option Button 341" hidden="1">
              <a:extLst>
                <a:ext uri="{63B3BB69-23CF-44E3-9099-C40C66FF867C}">
                  <a14:compatExt spid="_x0000_s8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71</xdr:row>
          <xdr:rowOff>10886</xdr:rowOff>
        </xdr:from>
        <xdr:to>
          <xdr:col>7</xdr:col>
          <xdr:colOff>190500</xdr:colOff>
          <xdr:row>73</xdr:row>
          <xdr:rowOff>10886</xdr:rowOff>
        </xdr:to>
        <xdr:sp macro="" textlink="">
          <xdr:nvSpPr>
            <xdr:cNvPr id="8534" name="Group Box 342" hidden="1">
              <a:extLst>
                <a:ext uri="{63B3BB69-23CF-44E3-9099-C40C66FF867C}">
                  <a14:compatExt spid="_x0000_s8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71</xdr:row>
          <xdr:rowOff>27214</xdr:rowOff>
        </xdr:from>
        <xdr:to>
          <xdr:col>4</xdr:col>
          <xdr:colOff>163286</xdr:colOff>
          <xdr:row>72</xdr:row>
          <xdr:rowOff>201386</xdr:rowOff>
        </xdr:to>
        <xdr:sp macro="" textlink="">
          <xdr:nvSpPr>
            <xdr:cNvPr id="8535" name="Option Button 343" hidden="1">
              <a:extLst>
                <a:ext uri="{63B3BB69-23CF-44E3-9099-C40C66FF867C}">
                  <a14:compatExt spid="_x0000_s85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71</xdr:row>
          <xdr:rowOff>27214</xdr:rowOff>
        </xdr:from>
        <xdr:to>
          <xdr:col>6</xdr:col>
          <xdr:colOff>76200</xdr:colOff>
          <xdr:row>72</xdr:row>
          <xdr:rowOff>201386</xdr:rowOff>
        </xdr:to>
        <xdr:sp macro="" textlink="">
          <xdr:nvSpPr>
            <xdr:cNvPr id="8536" name="Option Button 344" hidden="1">
              <a:extLst>
                <a:ext uri="{63B3BB69-23CF-44E3-9099-C40C66FF867C}">
                  <a14:compatExt spid="_x0000_s8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73</xdr:row>
          <xdr:rowOff>10886</xdr:rowOff>
        </xdr:from>
        <xdr:to>
          <xdr:col>7</xdr:col>
          <xdr:colOff>190500</xdr:colOff>
          <xdr:row>75</xdr:row>
          <xdr:rowOff>10886</xdr:rowOff>
        </xdr:to>
        <xdr:sp macro="" textlink="">
          <xdr:nvSpPr>
            <xdr:cNvPr id="8538" name="Group Box 346" hidden="1">
              <a:extLst>
                <a:ext uri="{63B3BB69-23CF-44E3-9099-C40C66FF867C}">
                  <a14:compatExt spid="_x0000_s85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73</xdr:row>
          <xdr:rowOff>48986</xdr:rowOff>
        </xdr:from>
        <xdr:to>
          <xdr:col>4</xdr:col>
          <xdr:colOff>163286</xdr:colOff>
          <xdr:row>75</xdr:row>
          <xdr:rowOff>10886</xdr:rowOff>
        </xdr:to>
        <xdr:sp macro="" textlink="">
          <xdr:nvSpPr>
            <xdr:cNvPr id="8539" name="Option Button 347" hidden="1">
              <a:extLst>
                <a:ext uri="{63B3BB69-23CF-44E3-9099-C40C66FF867C}">
                  <a14:compatExt spid="_x0000_s8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73</xdr:row>
          <xdr:rowOff>48986</xdr:rowOff>
        </xdr:from>
        <xdr:to>
          <xdr:col>6</xdr:col>
          <xdr:colOff>76200</xdr:colOff>
          <xdr:row>75</xdr:row>
          <xdr:rowOff>10886</xdr:rowOff>
        </xdr:to>
        <xdr:sp macro="" textlink="">
          <xdr:nvSpPr>
            <xdr:cNvPr id="8540" name="Option Button 348" hidden="1">
              <a:extLst>
                <a:ext uri="{63B3BB69-23CF-44E3-9099-C40C66FF867C}">
                  <a14:compatExt spid="_x0000_s85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73</xdr:row>
          <xdr:rowOff>48986</xdr:rowOff>
        </xdr:from>
        <xdr:to>
          <xdr:col>7</xdr:col>
          <xdr:colOff>179614</xdr:colOff>
          <xdr:row>75</xdr:row>
          <xdr:rowOff>10886</xdr:rowOff>
        </xdr:to>
        <xdr:sp macro="" textlink="">
          <xdr:nvSpPr>
            <xdr:cNvPr id="8541" name="Option Button 349" hidden="1">
              <a:extLst>
                <a:ext uri="{63B3BB69-23CF-44E3-9099-C40C66FF867C}">
                  <a14:compatExt spid="_x0000_s8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67</xdr:row>
          <xdr:rowOff>10886</xdr:rowOff>
        </xdr:from>
        <xdr:to>
          <xdr:col>7</xdr:col>
          <xdr:colOff>190500</xdr:colOff>
          <xdr:row>69</xdr:row>
          <xdr:rowOff>10886</xdr:rowOff>
        </xdr:to>
        <xdr:sp macro="" textlink="">
          <xdr:nvSpPr>
            <xdr:cNvPr id="8542" name="Group Box 350" hidden="1">
              <a:extLst>
                <a:ext uri="{63B3BB69-23CF-44E3-9099-C40C66FF867C}">
                  <a14:compatExt spid="_x0000_s85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38100</xdr:rowOff>
        </xdr:from>
        <xdr:to>
          <xdr:col>4</xdr:col>
          <xdr:colOff>163286</xdr:colOff>
          <xdr:row>69</xdr:row>
          <xdr:rowOff>0</xdr:rowOff>
        </xdr:to>
        <xdr:sp macro="" textlink="">
          <xdr:nvSpPr>
            <xdr:cNvPr id="8543" name="Option Button 351" hidden="1">
              <a:extLst>
                <a:ext uri="{63B3BB69-23CF-44E3-9099-C40C66FF867C}">
                  <a14:compatExt spid="_x0000_s8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67</xdr:row>
          <xdr:rowOff>38100</xdr:rowOff>
        </xdr:from>
        <xdr:to>
          <xdr:col>6</xdr:col>
          <xdr:colOff>76200</xdr:colOff>
          <xdr:row>69</xdr:row>
          <xdr:rowOff>0</xdr:rowOff>
        </xdr:to>
        <xdr:sp macro="" textlink="">
          <xdr:nvSpPr>
            <xdr:cNvPr id="8544" name="Option Button 352" hidden="1">
              <a:extLst>
                <a:ext uri="{63B3BB69-23CF-44E3-9099-C40C66FF867C}">
                  <a14:compatExt spid="_x0000_s8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69</xdr:row>
          <xdr:rowOff>10886</xdr:rowOff>
        </xdr:from>
        <xdr:to>
          <xdr:col>7</xdr:col>
          <xdr:colOff>190500</xdr:colOff>
          <xdr:row>71</xdr:row>
          <xdr:rowOff>10886</xdr:rowOff>
        </xdr:to>
        <xdr:sp macro="" textlink="">
          <xdr:nvSpPr>
            <xdr:cNvPr id="8546" name="Group Box 354" hidden="1">
              <a:extLst>
                <a:ext uri="{63B3BB69-23CF-44E3-9099-C40C66FF867C}">
                  <a14:compatExt spid="_x0000_s8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48986</xdr:rowOff>
        </xdr:from>
        <xdr:to>
          <xdr:col>4</xdr:col>
          <xdr:colOff>163286</xdr:colOff>
          <xdr:row>71</xdr:row>
          <xdr:rowOff>10886</xdr:rowOff>
        </xdr:to>
        <xdr:sp macro="" textlink="">
          <xdr:nvSpPr>
            <xdr:cNvPr id="8547" name="Option Button 355" hidden="1">
              <a:extLst>
                <a:ext uri="{63B3BB69-23CF-44E3-9099-C40C66FF867C}">
                  <a14:compatExt spid="_x0000_s8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69</xdr:row>
          <xdr:rowOff>48986</xdr:rowOff>
        </xdr:from>
        <xdr:to>
          <xdr:col>6</xdr:col>
          <xdr:colOff>76200</xdr:colOff>
          <xdr:row>71</xdr:row>
          <xdr:rowOff>10886</xdr:rowOff>
        </xdr:to>
        <xdr:sp macro="" textlink="">
          <xdr:nvSpPr>
            <xdr:cNvPr id="8548" name="Option Button 356" hidden="1">
              <a:extLst>
                <a:ext uri="{63B3BB69-23CF-44E3-9099-C40C66FF867C}">
                  <a14:compatExt spid="_x0000_s8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77</xdr:row>
          <xdr:rowOff>10886</xdr:rowOff>
        </xdr:from>
        <xdr:to>
          <xdr:col>7</xdr:col>
          <xdr:colOff>190500</xdr:colOff>
          <xdr:row>79</xdr:row>
          <xdr:rowOff>10886</xdr:rowOff>
        </xdr:to>
        <xdr:sp macro="" textlink="">
          <xdr:nvSpPr>
            <xdr:cNvPr id="8550" name="Group Box 358" hidden="1">
              <a:extLst>
                <a:ext uri="{63B3BB69-23CF-44E3-9099-C40C66FF867C}">
                  <a14:compatExt spid="_x0000_s8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77</xdr:row>
          <xdr:rowOff>48986</xdr:rowOff>
        </xdr:from>
        <xdr:to>
          <xdr:col>4</xdr:col>
          <xdr:colOff>163286</xdr:colOff>
          <xdr:row>79</xdr:row>
          <xdr:rowOff>10886</xdr:rowOff>
        </xdr:to>
        <xdr:sp macro="" textlink="">
          <xdr:nvSpPr>
            <xdr:cNvPr id="8551" name="Option Button 359" hidden="1">
              <a:extLst>
                <a:ext uri="{63B3BB69-23CF-44E3-9099-C40C66FF867C}">
                  <a14:compatExt spid="_x0000_s8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77</xdr:row>
          <xdr:rowOff>38100</xdr:rowOff>
        </xdr:from>
        <xdr:to>
          <xdr:col>6</xdr:col>
          <xdr:colOff>76200</xdr:colOff>
          <xdr:row>79</xdr:row>
          <xdr:rowOff>0</xdr:rowOff>
        </xdr:to>
        <xdr:sp macro="" textlink="">
          <xdr:nvSpPr>
            <xdr:cNvPr id="8552" name="Option Button 360" hidden="1">
              <a:extLst>
                <a:ext uri="{63B3BB69-23CF-44E3-9099-C40C66FF867C}">
                  <a14:compatExt spid="_x0000_s8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77</xdr:row>
          <xdr:rowOff>38100</xdr:rowOff>
        </xdr:from>
        <xdr:to>
          <xdr:col>7</xdr:col>
          <xdr:colOff>179614</xdr:colOff>
          <xdr:row>79</xdr:row>
          <xdr:rowOff>0</xdr:rowOff>
        </xdr:to>
        <xdr:sp macro="" textlink="">
          <xdr:nvSpPr>
            <xdr:cNvPr id="8553" name="Option Button 361" hidden="1">
              <a:extLst>
                <a:ext uri="{63B3BB69-23CF-44E3-9099-C40C66FF867C}">
                  <a14:compatExt spid="_x0000_s8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75</xdr:row>
          <xdr:rowOff>10886</xdr:rowOff>
        </xdr:from>
        <xdr:to>
          <xdr:col>7</xdr:col>
          <xdr:colOff>190500</xdr:colOff>
          <xdr:row>77</xdr:row>
          <xdr:rowOff>10886</xdr:rowOff>
        </xdr:to>
        <xdr:sp macro="" textlink="">
          <xdr:nvSpPr>
            <xdr:cNvPr id="8554" name="Group Box 362" hidden="1">
              <a:extLst>
                <a:ext uri="{63B3BB69-23CF-44E3-9099-C40C66FF867C}">
                  <a14:compatExt spid="_x0000_s85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75</xdr:row>
          <xdr:rowOff>38100</xdr:rowOff>
        </xdr:from>
        <xdr:to>
          <xdr:col>4</xdr:col>
          <xdr:colOff>163286</xdr:colOff>
          <xdr:row>77</xdr:row>
          <xdr:rowOff>0</xdr:rowOff>
        </xdr:to>
        <xdr:sp macro="" textlink="">
          <xdr:nvSpPr>
            <xdr:cNvPr id="8555" name="Option Button 363" hidden="1">
              <a:extLst>
                <a:ext uri="{63B3BB69-23CF-44E3-9099-C40C66FF867C}">
                  <a14:compatExt spid="_x0000_s8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75</xdr:row>
          <xdr:rowOff>38100</xdr:rowOff>
        </xdr:from>
        <xdr:to>
          <xdr:col>6</xdr:col>
          <xdr:colOff>76200</xdr:colOff>
          <xdr:row>77</xdr:row>
          <xdr:rowOff>0</xdr:rowOff>
        </xdr:to>
        <xdr:sp macro="" textlink="">
          <xdr:nvSpPr>
            <xdr:cNvPr id="8556" name="Option Button 364" hidden="1">
              <a:extLst>
                <a:ext uri="{63B3BB69-23CF-44E3-9099-C40C66FF867C}">
                  <a14:compatExt spid="_x0000_s8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75</xdr:row>
          <xdr:rowOff>38100</xdr:rowOff>
        </xdr:from>
        <xdr:to>
          <xdr:col>7</xdr:col>
          <xdr:colOff>179614</xdr:colOff>
          <xdr:row>77</xdr:row>
          <xdr:rowOff>0</xdr:rowOff>
        </xdr:to>
        <xdr:sp macro="" textlink="">
          <xdr:nvSpPr>
            <xdr:cNvPr id="8557" name="Option Button 365" hidden="1">
              <a:extLst>
                <a:ext uri="{63B3BB69-23CF-44E3-9099-C40C66FF867C}">
                  <a14:compatExt spid="_x0000_s8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144</xdr:row>
          <xdr:rowOff>10886</xdr:rowOff>
        </xdr:from>
        <xdr:to>
          <xdr:col>7</xdr:col>
          <xdr:colOff>190500</xdr:colOff>
          <xdr:row>145</xdr:row>
          <xdr:rowOff>228600</xdr:rowOff>
        </xdr:to>
        <xdr:sp macro="" textlink="">
          <xdr:nvSpPr>
            <xdr:cNvPr id="8558" name="Group Box 366" hidden="1">
              <a:extLst>
                <a:ext uri="{63B3BB69-23CF-44E3-9099-C40C66FF867C}">
                  <a14:compatExt spid="_x0000_s8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144</xdr:row>
          <xdr:rowOff>27214</xdr:rowOff>
        </xdr:from>
        <xdr:to>
          <xdr:col>4</xdr:col>
          <xdr:colOff>163286</xdr:colOff>
          <xdr:row>145</xdr:row>
          <xdr:rowOff>201386</xdr:rowOff>
        </xdr:to>
        <xdr:sp macro="" textlink="">
          <xdr:nvSpPr>
            <xdr:cNvPr id="8559" name="Option Button 367" hidden="1">
              <a:extLst>
                <a:ext uri="{63B3BB69-23CF-44E3-9099-C40C66FF867C}">
                  <a14:compatExt spid="_x0000_s85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144</xdr:row>
          <xdr:rowOff>27214</xdr:rowOff>
        </xdr:from>
        <xdr:to>
          <xdr:col>6</xdr:col>
          <xdr:colOff>76200</xdr:colOff>
          <xdr:row>145</xdr:row>
          <xdr:rowOff>201386</xdr:rowOff>
        </xdr:to>
        <xdr:sp macro="" textlink="">
          <xdr:nvSpPr>
            <xdr:cNvPr id="8560" name="Option Button 368" hidden="1">
              <a:extLst>
                <a:ext uri="{63B3BB69-23CF-44E3-9099-C40C66FF867C}">
                  <a14:compatExt spid="_x0000_s85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144</xdr:row>
          <xdr:rowOff>27214</xdr:rowOff>
        </xdr:from>
        <xdr:to>
          <xdr:col>7</xdr:col>
          <xdr:colOff>179614</xdr:colOff>
          <xdr:row>145</xdr:row>
          <xdr:rowOff>201386</xdr:rowOff>
        </xdr:to>
        <xdr:sp macro="" textlink="">
          <xdr:nvSpPr>
            <xdr:cNvPr id="8561" name="Option Button 369" hidden="1">
              <a:extLst>
                <a:ext uri="{63B3BB69-23CF-44E3-9099-C40C66FF867C}">
                  <a14:compatExt spid="_x0000_s85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140</xdr:row>
          <xdr:rowOff>10886</xdr:rowOff>
        </xdr:from>
        <xdr:to>
          <xdr:col>7</xdr:col>
          <xdr:colOff>190500</xdr:colOff>
          <xdr:row>142</xdr:row>
          <xdr:rowOff>10886</xdr:rowOff>
        </xdr:to>
        <xdr:sp macro="" textlink="">
          <xdr:nvSpPr>
            <xdr:cNvPr id="8562" name="Group Box 370" hidden="1">
              <a:extLst>
                <a:ext uri="{63B3BB69-23CF-44E3-9099-C40C66FF867C}">
                  <a14:compatExt spid="_x0000_s8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140</xdr:row>
          <xdr:rowOff>38100</xdr:rowOff>
        </xdr:from>
        <xdr:to>
          <xdr:col>4</xdr:col>
          <xdr:colOff>163286</xdr:colOff>
          <xdr:row>142</xdr:row>
          <xdr:rowOff>0</xdr:rowOff>
        </xdr:to>
        <xdr:sp macro="" textlink="">
          <xdr:nvSpPr>
            <xdr:cNvPr id="8563" name="Option Button 371" hidden="1">
              <a:extLst>
                <a:ext uri="{63B3BB69-23CF-44E3-9099-C40C66FF867C}">
                  <a14:compatExt spid="_x0000_s8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140</xdr:row>
          <xdr:rowOff>38100</xdr:rowOff>
        </xdr:from>
        <xdr:to>
          <xdr:col>6</xdr:col>
          <xdr:colOff>76200</xdr:colOff>
          <xdr:row>142</xdr:row>
          <xdr:rowOff>0</xdr:rowOff>
        </xdr:to>
        <xdr:sp macro="" textlink="">
          <xdr:nvSpPr>
            <xdr:cNvPr id="8564" name="Option Button 372" hidden="1">
              <a:extLst>
                <a:ext uri="{63B3BB69-23CF-44E3-9099-C40C66FF867C}">
                  <a14:compatExt spid="_x0000_s8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140</xdr:row>
          <xdr:rowOff>38100</xdr:rowOff>
        </xdr:from>
        <xdr:to>
          <xdr:col>7</xdr:col>
          <xdr:colOff>179614</xdr:colOff>
          <xdr:row>142</xdr:row>
          <xdr:rowOff>0</xdr:rowOff>
        </xdr:to>
        <xdr:sp macro="" textlink="">
          <xdr:nvSpPr>
            <xdr:cNvPr id="8565" name="Option Button 373" hidden="1">
              <a:extLst>
                <a:ext uri="{63B3BB69-23CF-44E3-9099-C40C66FF867C}">
                  <a14:compatExt spid="_x0000_s8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142</xdr:row>
          <xdr:rowOff>10886</xdr:rowOff>
        </xdr:from>
        <xdr:to>
          <xdr:col>7</xdr:col>
          <xdr:colOff>190500</xdr:colOff>
          <xdr:row>144</xdr:row>
          <xdr:rowOff>10886</xdr:rowOff>
        </xdr:to>
        <xdr:sp macro="" textlink="">
          <xdr:nvSpPr>
            <xdr:cNvPr id="8566" name="Group Box 374" hidden="1">
              <a:extLst>
                <a:ext uri="{63B3BB69-23CF-44E3-9099-C40C66FF867C}">
                  <a14:compatExt spid="_x0000_s8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142</xdr:row>
          <xdr:rowOff>48986</xdr:rowOff>
        </xdr:from>
        <xdr:to>
          <xdr:col>4</xdr:col>
          <xdr:colOff>163286</xdr:colOff>
          <xdr:row>144</xdr:row>
          <xdr:rowOff>10886</xdr:rowOff>
        </xdr:to>
        <xdr:sp macro="" textlink="">
          <xdr:nvSpPr>
            <xdr:cNvPr id="8567" name="Option Button 375" hidden="1">
              <a:extLst>
                <a:ext uri="{63B3BB69-23CF-44E3-9099-C40C66FF867C}">
                  <a14:compatExt spid="_x0000_s8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142</xdr:row>
          <xdr:rowOff>48986</xdr:rowOff>
        </xdr:from>
        <xdr:to>
          <xdr:col>6</xdr:col>
          <xdr:colOff>76200</xdr:colOff>
          <xdr:row>144</xdr:row>
          <xdr:rowOff>10886</xdr:rowOff>
        </xdr:to>
        <xdr:sp macro="" textlink="">
          <xdr:nvSpPr>
            <xdr:cNvPr id="8568" name="Option Button 376" hidden="1">
              <a:extLst>
                <a:ext uri="{63B3BB69-23CF-44E3-9099-C40C66FF867C}">
                  <a14:compatExt spid="_x0000_s8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142</xdr:row>
          <xdr:rowOff>48986</xdr:rowOff>
        </xdr:from>
        <xdr:to>
          <xdr:col>7</xdr:col>
          <xdr:colOff>179614</xdr:colOff>
          <xdr:row>144</xdr:row>
          <xdr:rowOff>10886</xdr:rowOff>
        </xdr:to>
        <xdr:sp macro="" textlink="">
          <xdr:nvSpPr>
            <xdr:cNvPr id="8569" name="Option Button 377" hidden="1">
              <a:extLst>
                <a:ext uri="{63B3BB69-23CF-44E3-9099-C40C66FF867C}">
                  <a14:compatExt spid="_x0000_s8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153</xdr:row>
          <xdr:rowOff>10886</xdr:rowOff>
        </xdr:from>
        <xdr:to>
          <xdr:col>7</xdr:col>
          <xdr:colOff>190500</xdr:colOff>
          <xdr:row>154</xdr:row>
          <xdr:rowOff>228600</xdr:rowOff>
        </xdr:to>
        <xdr:sp macro="" textlink="">
          <xdr:nvSpPr>
            <xdr:cNvPr id="8570" name="Group Box 378" hidden="1">
              <a:extLst>
                <a:ext uri="{63B3BB69-23CF-44E3-9099-C40C66FF867C}">
                  <a14:compatExt spid="_x0000_s85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153</xdr:row>
          <xdr:rowOff>38100</xdr:rowOff>
        </xdr:from>
        <xdr:to>
          <xdr:col>4</xdr:col>
          <xdr:colOff>163286</xdr:colOff>
          <xdr:row>154</xdr:row>
          <xdr:rowOff>217714</xdr:rowOff>
        </xdr:to>
        <xdr:sp macro="" textlink="">
          <xdr:nvSpPr>
            <xdr:cNvPr id="8571" name="Option Button 379" hidden="1">
              <a:extLst>
                <a:ext uri="{63B3BB69-23CF-44E3-9099-C40C66FF867C}">
                  <a14:compatExt spid="_x0000_s8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153</xdr:row>
          <xdr:rowOff>38100</xdr:rowOff>
        </xdr:from>
        <xdr:to>
          <xdr:col>6</xdr:col>
          <xdr:colOff>76200</xdr:colOff>
          <xdr:row>154</xdr:row>
          <xdr:rowOff>217714</xdr:rowOff>
        </xdr:to>
        <xdr:sp macro="" textlink="">
          <xdr:nvSpPr>
            <xdr:cNvPr id="8572" name="Option Button 380" hidden="1">
              <a:extLst>
                <a:ext uri="{63B3BB69-23CF-44E3-9099-C40C66FF867C}">
                  <a14:compatExt spid="_x0000_s8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153</xdr:row>
          <xdr:rowOff>38100</xdr:rowOff>
        </xdr:from>
        <xdr:to>
          <xdr:col>7</xdr:col>
          <xdr:colOff>179614</xdr:colOff>
          <xdr:row>154</xdr:row>
          <xdr:rowOff>217714</xdr:rowOff>
        </xdr:to>
        <xdr:sp macro="" textlink="">
          <xdr:nvSpPr>
            <xdr:cNvPr id="8573" name="Option Button 381" hidden="1">
              <a:extLst>
                <a:ext uri="{63B3BB69-23CF-44E3-9099-C40C66FF867C}">
                  <a14:compatExt spid="_x0000_s8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157</xdr:row>
          <xdr:rowOff>10886</xdr:rowOff>
        </xdr:from>
        <xdr:to>
          <xdr:col>7</xdr:col>
          <xdr:colOff>190500</xdr:colOff>
          <xdr:row>158</xdr:row>
          <xdr:rowOff>266700</xdr:rowOff>
        </xdr:to>
        <xdr:sp macro="" textlink="">
          <xdr:nvSpPr>
            <xdr:cNvPr id="8574" name="Group Box 382" hidden="1">
              <a:extLst>
                <a:ext uri="{63B3BB69-23CF-44E3-9099-C40C66FF867C}">
                  <a14:compatExt spid="_x0000_s8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157</xdr:row>
          <xdr:rowOff>38100</xdr:rowOff>
        </xdr:from>
        <xdr:to>
          <xdr:col>4</xdr:col>
          <xdr:colOff>163286</xdr:colOff>
          <xdr:row>158</xdr:row>
          <xdr:rowOff>255814</xdr:rowOff>
        </xdr:to>
        <xdr:sp macro="" textlink="">
          <xdr:nvSpPr>
            <xdr:cNvPr id="8575" name="Option Button 383" hidden="1">
              <a:extLst>
                <a:ext uri="{63B3BB69-23CF-44E3-9099-C40C66FF867C}">
                  <a14:compatExt spid="_x0000_s8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157</xdr:row>
          <xdr:rowOff>38100</xdr:rowOff>
        </xdr:from>
        <xdr:to>
          <xdr:col>6</xdr:col>
          <xdr:colOff>76200</xdr:colOff>
          <xdr:row>158</xdr:row>
          <xdr:rowOff>255814</xdr:rowOff>
        </xdr:to>
        <xdr:sp macro="" textlink="">
          <xdr:nvSpPr>
            <xdr:cNvPr id="8576" name="Option Button 384" hidden="1">
              <a:extLst>
                <a:ext uri="{63B3BB69-23CF-44E3-9099-C40C66FF867C}">
                  <a14:compatExt spid="_x0000_s85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157</xdr:row>
          <xdr:rowOff>38100</xdr:rowOff>
        </xdr:from>
        <xdr:to>
          <xdr:col>7</xdr:col>
          <xdr:colOff>179614</xdr:colOff>
          <xdr:row>158</xdr:row>
          <xdr:rowOff>255814</xdr:rowOff>
        </xdr:to>
        <xdr:sp macro="" textlink="">
          <xdr:nvSpPr>
            <xdr:cNvPr id="8577" name="Option Button 385" hidden="1">
              <a:extLst>
                <a:ext uri="{63B3BB69-23CF-44E3-9099-C40C66FF867C}">
                  <a14:compatExt spid="_x0000_s8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161</xdr:row>
          <xdr:rowOff>10886</xdr:rowOff>
        </xdr:from>
        <xdr:to>
          <xdr:col>7</xdr:col>
          <xdr:colOff>190500</xdr:colOff>
          <xdr:row>162</xdr:row>
          <xdr:rowOff>266700</xdr:rowOff>
        </xdr:to>
        <xdr:sp macro="" textlink="">
          <xdr:nvSpPr>
            <xdr:cNvPr id="8578" name="Group Box 386" hidden="1">
              <a:extLst>
                <a:ext uri="{63B3BB69-23CF-44E3-9099-C40C66FF867C}">
                  <a14:compatExt spid="_x0000_s85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161</xdr:row>
          <xdr:rowOff>38100</xdr:rowOff>
        </xdr:from>
        <xdr:to>
          <xdr:col>4</xdr:col>
          <xdr:colOff>163286</xdr:colOff>
          <xdr:row>162</xdr:row>
          <xdr:rowOff>255814</xdr:rowOff>
        </xdr:to>
        <xdr:sp macro="" textlink="">
          <xdr:nvSpPr>
            <xdr:cNvPr id="8579" name="Option Button 387" hidden="1">
              <a:extLst>
                <a:ext uri="{63B3BB69-23CF-44E3-9099-C40C66FF867C}">
                  <a14:compatExt spid="_x0000_s8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161</xdr:row>
          <xdr:rowOff>38100</xdr:rowOff>
        </xdr:from>
        <xdr:to>
          <xdr:col>6</xdr:col>
          <xdr:colOff>76200</xdr:colOff>
          <xdr:row>162</xdr:row>
          <xdr:rowOff>255814</xdr:rowOff>
        </xdr:to>
        <xdr:sp macro="" textlink="">
          <xdr:nvSpPr>
            <xdr:cNvPr id="8580" name="Option Button 388" hidden="1">
              <a:extLst>
                <a:ext uri="{63B3BB69-23CF-44E3-9099-C40C66FF867C}">
                  <a14:compatExt spid="_x0000_s8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161</xdr:row>
          <xdr:rowOff>38100</xdr:rowOff>
        </xdr:from>
        <xdr:to>
          <xdr:col>7</xdr:col>
          <xdr:colOff>179614</xdr:colOff>
          <xdr:row>162</xdr:row>
          <xdr:rowOff>255814</xdr:rowOff>
        </xdr:to>
        <xdr:sp macro="" textlink="">
          <xdr:nvSpPr>
            <xdr:cNvPr id="8581" name="Option Button 389" hidden="1">
              <a:extLst>
                <a:ext uri="{63B3BB69-23CF-44E3-9099-C40C66FF867C}">
                  <a14:compatExt spid="_x0000_s8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165</xdr:row>
          <xdr:rowOff>10886</xdr:rowOff>
        </xdr:from>
        <xdr:to>
          <xdr:col>7</xdr:col>
          <xdr:colOff>190500</xdr:colOff>
          <xdr:row>167</xdr:row>
          <xdr:rowOff>0</xdr:rowOff>
        </xdr:to>
        <xdr:sp macro="" textlink="">
          <xdr:nvSpPr>
            <xdr:cNvPr id="8582" name="Group Box 390" hidden="1">
              <a:extLst>
                <a:ext uri="{63B3BB69-23CF-44E3-9099-C40C66FF867C}">
                  <a14:compatExt spid="_x0000_s8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165</xdr:row>
          <xdr:rowOff>38100</xdr:rowOff>
        </xdr:from>
        <xdr:to>
          <xdr:col>4</xdr:col>
          <xdr:colOff>163286</xdr:colOff>
          <xdr:row>166</xdr:row>
          <xdr:rowOff>255814</xdr:rowOff>
        </xdr:to>
        <xdr:sp macro="" textlink="">
          <xdr:nvSpPr>
            <xdr:cNvPr id="8583" name="Option Button 391" hidden="1">
              <a:extLst>
                <a:ext uri="{63B3BB69-23CF-44E3-9099-C40C66FF867C}">
                  <a14:compatExt spid="_x0000_s8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165</xdr:row>
          <xdr:rowOff>38100</xdr:rowOff>
        </xdr:from>
        <xdr:to>
          <xdr:col>6</xdr:col>
          <xdr:colOff>76200</xdr:colOff>
          <xdr:row>166</xdr:row>
          <xdr:rowOff>255814</xdr:rowOff>
        </xdr:to>
        <xdr:sp macro="" textlink="">
          <xdr:nvSpPr>
            <xdr:cNvPr id="8584" name="Option Button 392" hidden="1">
              <a:extLst>
                <a:ext uri="{63B3BB69-23CF-44E3-9099-C40C66FF867C}">
                  <a14:compatExt spid="_x0000_s8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165</xdr:row>
          <xdr:rowOff>38100</xdr:rowOff>
        </xdr:from>
        <xdr:to>
          <xdr:col>7</xdr:col>
          <xdr:colOff>179614</xdr:colOff>
          <xdr:row>166</xdr:row>
          <xdr:rowOff>255814</xdr:rowOff>
        </xdr:to>
        <xdr:sp macro="" textlink="">
          <xdr:nvSpPr>
            <xdr:cNvPr id="8585" name="Option Button 393" hidden="1">
              <a:extLst>
                <a:ext uri="{63B3BB69-23CF-44E3-9099-C40C66FF867C}">
                  <a14:compatExt spid="_x0000_s8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190</xdr:row>
          <xdr:rowOff>10886</xdr:rowOff>
        </xdr:from>
        <xdr:to>
          <xdr:col>7</xdr:col>
          <xdr:colOff>190500</xdr:colOff>
          <xdr:row>191</xdr:row>
          <xdr:rowOff>228600</xdr:rowOff>
        </xdr:to>
        <xdr:sp macro="" textlink="">
          <xdr:nvSpPr>
            <xdr:cNvPr id="8586" name="Group Box 394" hidden="1">
              <a:extLst>
                <a:ext uri="{63B3BB69-23CF-44E3-9099-C40C66FF867C}">
                  <a14:compatExt spid="_x0000_s8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190</xdr:row>
          <xdr:rowOff>38100</xdr:rowOff>
        </xdr:from>
        <xdr:to>
          <xdr:col>4</xdr:col>
          <xdr:colOff>163286</xdr:colOff>
          <xdr:row>191</xdr:row>
          <xdr:rowOff>217714</xdr:rowOff>
        </xdr:to>
        <xdr:sp macro="" textlink="">
          <xdr:nvSpPr>
            <xdr:cNvPr id="8587" name="Option Button 395" hidden="1">
              <a:extLst>
                <a:ext uri="{63B3BB69-23CF-44E3-9099-C40C66FF867C}">
                  <a14:compatExt spid="_x0000_s8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190</xdr:row>
          <xdr:rowOff>38100</xdr:rowOff>
        </xdr:from>
        <xdr:to>
          <xdr:col>6</xdr:col>
          <xdr:colOff>76200</xdr:colOff>
          <xdr:row>191</xdr:row>
          <xdr:rowOff>217714</xdr:rowOff>
        </xdr:to>
        <xdr:sp macro="" textlink="">
          <xdr:nvSpPr>
            <xdr:cNvPr id="8588" name="Option Button 396" hidden="1">
              <a:extLst>
                <a:ext uri="{63B3BB69-23CF-44E3-9099-C40C66FF867C}">
                  <a14:compatExt spid="_x0000_s8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190</xdr:row>
          <xdr:rowOff>38100</xdr:rowOff>
        </xdr:from>
        <xdr:to>
          <xdr:col>7</xdr:col>
          <xdr:colOff>179614</xdr:colOff>
          <xdr:row>191</xdr:row>
          <xdr:rowOff>217714</xdr:rowOff>
        </xdr:to>
        <xdr:sp macro="" textlink="">
          <xdr:nvSpPr>
            <xdr:cNvPr id="8589" name="Option Button 397" hidden="1">
              <a:extLst>
                <a:ext uri="{63B3BB69-23CF-44E3-9099-C40C66FF867C}">
                  <a14:compatExt spid="_x0000_s8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192</xdr:row>
          <xdr:rowOff>10886</xdr:rowOff>
        </xdr:from>
        <xdr:to>
          <xdr:col>7</xdr:col>
          <xdr:colOff>190500</xdr:colOff>
          <xdr:row>193</xdr:row>
          <xdr:rowOff>228600</xdr:rowOff>
        </xdr:to>
        <xdr:sp macro="" textlink="">
          <xdr:nvSpPr>
            <xdr:cNvPr id="8590" name="Group Box 398" hidden="1">
              <a:extLst>
                <a:ext uri="{63B3BB69-23CF-44E3-9099-C40C66FF867C}">
                  <a14:compatExt spid="_x0000_s85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192</xdr:row>
          <xdr:rowOff>48986</xdr:rowOff>
        </xdr:from>
        <xdr:to>
          <xdr:col>4</xdr:col>
          <xdr:colOff>163286</xdr:colOff>
          <xdr:row>193</xdr:row>
          <xdr:rowOff>228600</xdr:rowOff>
        </xdr:to>
        <xdr:sp macro="" textlink="">
          <xdr:nvSpPr>
            <xdr:cNvPr id="8591" name="Option Button 399" hidden="1">
              <a:extLst>
                <a:ext uri="{63B3BB69-23CF-44E3-9099-C40C66FF867C}">
                  <a14:compatExt spid="_x0000_s8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192</xdr:row>
          <xdr:rowOff>48986</xdr:rowOff>
        </xdr:from>
        <xdr:to>
          <xdr:col>6</xdr:col>
          <xdr:colOff>76200</xdr:colOff>
          <xdr:row>193</xdr:row>
          <xdr:rowOff>228600</xdr:rowOff>
        </xdr:to>
        <xdr:sp macro="" textlink="">
          <xdr:nvSpPr>
            <xdr:cNvPr id="8592" name="Option Button 400" hidden="1">
              <a:extLst>
                <a:ext uri="{63B3BB69-23CF-44E3-9099-C40C66FF867C}">
                  <a14:compatExt spid="_x0000_s8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192</xdr:row>
          <xdr:rowOff>48986</xdr:rowOff>
        </xdr:from>
        <xdr:to>
          <xdr:col>7</xdr:col>
          <xdr:colOff>179614</xdr:colOff>
          <xdr:row>193</xdr:row>
          <xdr:rowOff>228600</xdr:rowOff>
        </xdr:to>
        <xdr:sp macro="" textlink="">
          <xdr:nvSpPr>
            <xdr:cNvPr id="8593" name="Option Button 401" hidden="1">
              <a:extLst>
                <a:ext uri="{63B3BB69-23CF-44E3-9099-C40C66FF867C}">
                  <a14:compatExt spid="_x0000_s8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199</xdr:row>
          <xdr:rowOff>0</xdr:rowOff>
        </xdr:from>
        <xdr:to>
          <xdr:col>7</xdr:col>
          <xdr:colOff>190500</xdr:colOff>
          <xdr:row>199</xdr:row>
          <xdr:rowOff>332014</xdr:rowOff>
        </xdr:to>
        <xdr:sp macro="" textlink="">
          <xdr:nvSpPr>
            <xdr:cNvPr id="8594" name="Group Box 402" hidden="1">
              <a:extLst>
                <a:ext uri="{63B3BB69-23CF-44E3-9099-C40C66FF867C}">
                  <a14:compatExt spid="_x0000_s8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198</xdr:row>
          <xdr:rowOff>103414</xdr:rowOff>
        </xdr:from>
        <xdr:to>
          <xdr:col>4</xdr:col>
          <xdr:colOff>163286</xdr:colOff>
          <xdr:row>199</xdr:row>
          <xdr:rowOff>277586</xdr:rowOff>
        </xdr:to>
        <xdr:sp macro="" textlink="">
          <xdr:nvSpPr>
            <xdr:cNvPr id="8595" name="Option Button 403" hidden="1">
              <a:extLst>
                <a:ext uri="{63B3BB69-23CF-44E3-9099-C40C66FF867C}">
                  <a14:compatExt spid="_x0000_s8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198</xdr:row>
          <xdr:rowOff>103414</xdr:rowOff>
        </xdr:from>
        <xdr:to>
          <xdr:col>6</xdr:col>
          <xdr:colOff>76200</xdr:colOff>
          <xdr:row>199</xdr:row>
          <xdr:rowOff>277586</xdr:rowOff>
        </xdr:to>
        <xdr:sp macro="" textlink="">
          <xdr:nvSpPr>
            <xdr:cNvPr id="8596" name="Option Button 404" hidden="1">
              <a:extLst>
                <a:ext uri="{63B3BB69-23CF-44E3-9099-C40C66FF867C}">
                  <a14:compatExt spid="_x0000_s8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198</xdr:row>
          <xdr:rowOff>103414</xdr:rowOff>
        </xdr:from>
        <xdr:to>
          <xdr:col>7</xdr:col>
          <xdr:colOff>179614</xdr:colOff>
          <xdr:row>199</xdr:row>
          <xdr:rowOff>277586</xdr:rowOff>
        </xdr:to>
        <xdr:sp macro="" textlink="">
          <xdr:nvSpPr>
            <xdr:cNvPr id="8597" name="Option Button 405" hidden="1">
              <a:extLst>
                <a:ext uri="{63B3BB69-23CF-44E3-9099-C40C66FF867C}">
                  <a14:compatExt spid="_x0000_s8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202</xdr:row>
          <xdr:rowOff>10886</xdr:rowOff>
        </xdr:from>
        <xdr:to>
          <xdr:col>7</xdr:col>
          <xdr:colOff>190500</xdr:colOff>
          <xdr:row>203</xdr:row>
          <xdr:rowOff>266700</xdr:rowOff>
        </xdr:to>
        <xdr:sp macro="" textlink="">
          <xdr:nvSpPr>
            <xdr:cNvPr id="8598" name="Group Box 406" hidden="1">
              <a:extLst>
                <a:ext uri="{63B3BB69-23CF-44E3-9099-C40C66FF867C}">
                  <a14:compatExt spid="_x0000_s85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202</xdr:row>
          <xdr:rowOff>38100</xdr:rowOff>
        </xdr:from>
        <xdr:to>
          <xdr:col>4</xdr:col>
          <xdr:colOff>163286</xdr:colOff>
          <xdr:row>203</xdr:row>
          <xdr:rowOff>255814</xdr:rowOff>
        </xdr:to>
        <xdr:sp macro="" textlink="">
          <xdr:nvSpPr>
            <xdr:cNvPr id="8599" name="Option Button 407" hidden="1">
              <a:extLst>
                <a:ext uri="{63B3BB69-23CF-44E3-9099-C40C66FF867C}">
                  <a14:compatExt spid="_x0000_s85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202</xdr:row>
          <xdr:rowOff>38100</xdr:rowOff>
        </xdr:from>
        <xdr:to>
          <xdr:col>6</xdr:col>
          <xdr:colOff>76200</xdr:colOff>
          <xdr:row>203</xdr:row>
          <xdr:rowOff>255814</xdr:rowOff>
        </xdr:to>
        <xdr:sp macro="" textlink="">
          <xdr:nvSpPr>
            <xdr:cNvPr id="8600" name="Option Button 408" hidden="1">
              <a:extLst>
                <a:ext uri="{63B3BB69-23CF-44E3-9099-C40C66FF867C}">
                  <a14:compatExt spid="_x0000_s8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202</xdr:row>
          <xdr:rowOff>38100</xdr:rowOff>
        </xdr:from>
        <xdr:to>
          <xdr:col>7</xdr:col>
          <xdr:colOff>179614</xdr:colOff>
          <xdr:row>203</xdr:row>
          <xdr:rowOff>255814</xdr:rowOff>
        </xdr:to>
        <xdr:sp macro="" textlink="">
          <xdr:nvSpPr>
            <xdr:cNvPr id="8601" name="Option Button 409" hidden="1">
              <a:extLst>
                <a:ext uri="{63B3BB69-23CF-44E3-9099-C40C66FF867C}">
                  <a14:compatExt spid="_x0000_s8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206</xdr:row>
          <xdr:rowOff>10886</xdr:rowOff>
        </xdr:from>
        <xdr:to>
          <xdr:col>7</xdr:col>
          <xdr:colOff>190500</xdr:colOff>
          <xdr:row>207</xdr:row>
          <xdr:rowOff>266700</xdr:rowOff>
        </xdr:to>
        <xdr:sp macro="" textlink="">
          <xdr:nvSpPr>
            <xdr:cNvPr id="8602" name="Group Box 410" hidden="1">
              <a:extLst>
                <a:ext uri="{63B3BB69-23CF-44E3-9099-C40C66FF867C}">
                  <a14:compatExt spid="_x0000_s86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206</xdr:row>
          <xdr:rowOff>38100</xdr:rowOff>
        </xdr:from>
        <xdr:to>
          <xdr:col>4</xdr:col>
          <xdr:colOff>163286</xdr:colOff>
          <xdr:row>207</xdr:row>
          <xdr:rowOff>255814</xdr:rowOff>
        </xdr:to>
        <xdr:sp macro="" textlink="">
          <xdr:nvSpPr>
            <xdr:cNvPr id="8603" name="Option Button 411" hidden="1">
              <a:extLst>
                <a:ext uri="{63B3BB69-23CF-44E3-9099-C40C66FF867C}">
                  <a14:compatExt spid="_x0000_s8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206</xdr:row>
          <xdr:rowOff>38100</xdr:rowOff>
        </xdr:from>
        <xdr:to>
          <xdr:col>6</xdr:col>
          <xdr:colOff>76200</xdr:colOff>
          <xdr:row>207</xdr:row>
          <xdr:rowOff>255814</xdr:rowOff>
        </xdr:to>
        <xdr:sp macro="" textlink="">
          <xdr:nvSpPr>
            <xdr:cNvPr id="8604" name="Option Button 412" hidden="1">
              <a:extLst>
                <a:ext uri="{63B3BB69-23CF-44E3-9099-C40C66FF867C}">
                  <a14:compatExt spid="_x0000_s8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206</xdr:row>
          <xdr:rowOff>38100</xdr:rowOff>
        </xdr:from>
        <xdr:to>
          <xdr:col>7</xdr:col>
          <xdr:colOff>179614</xdr:colOff>
          <xdr:row>207</xdr:row>
          <xdr:rowOff>255814</xdr:rowOff>
        </xdr:to>
        <xdr:sp macro="" textlink="">
          <xdr:nvSpPr>
            <xdr:cNvPr id="8605" name="Option Button 413" hidden="1">
              <a:extLst>
                <a:ext uri="{63B3BB69-23CF-44E3-9099-C40C66FF867C}">
                  <a14:compatExt spid="_x0000_s8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210</xdr:row>
          <xdr:rowOff>10886</xdr:rowOff>
        </xdr:from>
        <xdr:to>
          <xdr:col>7</xdr:col>
          <xdr:colOff>190500</xdr:colOff>
          <xdr:row>211</xdr:row>
          <xdr:rowOff>266700</xdr:rowOff>
        </xdr:to>
        <xdr:sp macro="" textlink="">
          <xdr:nvSpPr>
            <xdr:cNvPr id="8606" name="Group Box 414" hidden="1">
              <a:extLst>
                <a:ext uri="{63B3BB69-23CF-44E3-9099-C40C66FF867C}">
                  <a14:compatExt spid="_x0000_s86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210</xdr:row>
          <xdr:rowOff>38100</xdr:rowOff>
        </xdr:from>
        <xdr:to>
          <xdr:col>4</xdr:col>
          <xdr:colOff>163286</xdr:colOff>
          <xdr:row>211</xdr:row>
          <xdr:rowOff>255814</xdr:rowOff>
        </xdr:to>
        <xdr:sp macro="" textlink="">
          <xdr:nvSpPr>
            <xdr:cNvPr id="8607" name="Option Button 415" hidden="1">
              <a:extLst>
                <a:ext uri="{63B3BB69-23CF-44E3-9099-C40C66FF867C}">
                  <a14:compatExt spid="_x0000_s8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210</xdr:row>
          <xdr:rowOff>38100</xdr:rowOff>
        </xdr:from>
        <xdr:to>
          <xdr:col>6</xdr:col>
          <xdr:colOff>76200</xdr:colOff>
          <xdr:row>211</xdr:row>
          <xdr:rowOff>255814</xdr:rowOff>
        </xdr:to>
        <xdr:sp macro="" textlink="">
          <xdr:nvSpPr>
            <xdr:cNvPr id="8608" name="Option Button 416" hidden="1">
              <a:extLst>
                <a:ext uri="{63B3BB69-23CF-44E3-9099-C40C66FF867C}">
                  <a14:compatExt spid="_x0000_s8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210</xdr:row>
          <xdr:rowOff>38100</xdr:rowOff>
        </xdr:from>
        <xdr:to>
          <xdr:col>7</xdr:col>
          <xdr:colOff>179614</xdr:colOff>
          <xdr:row>211</xdr:row>
          <xdr:rowOff>255814</xdr:rowOff>
        </xdr:to>
        <xdr:sp macro="" textlink="">
          <xdr:nvSpPr>
            <xdr:cNvPr id="8609" name="Option Button 417" hidden="1">
              <a:extLst>
                <a:ext uri="{63B3BB69-23CF-44E3-9099-C40C66FF867C}">
                  <a14:compatExt spid="_x0000_s8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214</xdr:row>
          <xdr:rowOff>10886</xdr:rowOff>
        </xdr:from>
        <xdr:to>
          <xdr:col>7</xdr:col>
          <xdr:colOff>190500</xdr:colOff>
          <xdr:row>215</xdr:row>
          <xdr:rowOff>266700</xdr:rowOff>
        </xdr:to>
        <xdr:sp macro="" textlink="">
          <xdr:nvSpPr>
            <xdr:cNvPr id="8610" name="Group Box 418" hidden="1">
              <a:extLst>
                <a:ext uri="{63B3BB69-23CF-44E3-9099-C40C66FF867C}">
                  <a14:compatExt spid="_x0000_s8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214</xdr:row>
          <xdr:rowOff>38100</xdr:rowOff>
        </xdr:from>
        <xdr:to>
          <xdr:col>4</xdr:col>
          <xdr:colOff>163286</xdr:colOff>
          <xdr:row>215</xdr:row>
          <xdr:rowOff>255814</xdr:rowOff>
        </xdr:to>
        <xdr:sp macro="" textlink="">
          <xdr:nvSpPr>
            <xdr:cNvPr id="8611" name="Option Button 419" hidden="1">
              <a:extLst>
                <a:ext uri="{63B3BB69-23CF-44E3-9099-C40C66FF867C}">
                  <a14:compatExt spid="_x0000_s8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214</xdr:row>
          <xdr:rowOff>38100</xdr:rowOff>
        </xdr:from>
        <xdr:to>
          <xdr:col>6</xdr:col>
          <xdr:colOff>76200</xdr:colOff>
          <xdr:row>215</xdr:row>
          <xdr:rowOff>255814</xdr:rowOff>
        </xdr:to>
        <xdr:sp macro="" textlink="">
          <xdr:nvSpPr>
            <xdr:cNvPr id="8612" name="Option Button 420" hidden="1">
              <a:extLst>
                <a:ext uri="{63B3BB69-23CF-44E3-9099-C40C66FF867C}">
                  <a14:compatExt spid="_x0000_s86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214</xdr:row>
          <xdr:rowOff>38100</xdr:rowOff>
        </xdr:from>
        <xdr:to>
          <xdr:col>7</xdr:col>
          <xdr:colOff>179614</xdr:colOff>
          <xdr:row>215</xdr:row>
          <xdr:rowOff>255814</xdr:rowOff>
        </xdr:to>
        <xdr:sp macro="" textlink="">
          <xdr:nvSpPr>
            <xdr:cNvPr id="8613" name="Option Button 421" hidden="1">
              <a:extLst>
                <a:ext uri="{63B3BB69-23CF-44E3-9099-C40C66FF867C}">
                  <a14:compatExt spid="_x0000_s8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225</xdr:row>
          <xdr:rowOff>10886</xdr:rowOff>
        </xdr:from>
        <xdr:to>
          <xdr:col>7</xdr:col>
          <xdr:colOff>190500</xdr:colOff>
          <xdr:row>226</xdr:row>
          <xdr:rowOff>228600</xdr:rowOff>
        </xdr:to>
        <xdr:sp macro="" textlink="">
          <xdr:nvSpPr>
            <xdr:cNvPr id="8614" name="Group Box 422" hidden="1">
              <a:extLst>
                <a:ext uri="{63B3BB69-23CF-44E3-9099-C40C66FF867C}">
                  <a14:compatExt spid="_x0000_s86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225</xdr:row>
          <xdr:rowOff>38100</xdr:rowOff>
        </xdr:from>
        <xdr:to>
          <xdr:col>4</xdr:col>
          <xdr:colOff>163286</xdr:colOff>
          <xdr:row>226</xdr:row>
          <xdr:rowOff>217714</xdr:rowOff>
        </xdr:to>
        <xdr:sp macro="" textlink="">
          <xdr:nvSpPr>
            <xdr:cNvPr id="8615" name="Option Button 423" hidden="1">
              <a:extLst>
                <a:ext uri="{63B3BB69-23CF-44E3-9099-C40C66FF867C}">
                  <a14:compatExt spid="_x0000_s8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225</xdr:row>
          <xdr:rowOff>38100</xdr:rowOff>
        </xdr:from>
        <xdr:to>
          <xdr:col>6</xdr:col>
          <xdr:colOff>76200</xdr:colOff>
          <xdr:row>226</xdr:row>
          <xdr:rowOff>217714</xdr:rowOff>
        </xdr:to>
        <xdr:sp macro="" textlink="">
          <xdr:nvSpPr>
            <xdr:cNvPr id="8616" name="Option Button 424" hidden="1">
              <a:extLst>
                <a:ext uri="{63B3BB69-23CF-44E3-9099-C40C66FF867C}">
                  <a14:compatExt spid="_x0000_s8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225</xdr:row>
          <xdr:rowOff>38100</xdr:rowOff>
        </xdr:from>
        <xdr:to>
          <xdr:col>7</xdr:col>
          <xdr:colOff>179614</xdr:colOff>
          <xdr:row>226</xdr:row>
          <xdr:rowOff>217714</xdr:rowOff>
        </xdr:to>
        <xdr:sp macro="" textlink="">
          <xdr:nvSpPr>
            <xdr:cNvPr id="8617" name="Option Button 425" hidden="1">
              <a:extLst>
                <a:ext uri="{63B3BB69-23CF-44E3-9099-C40C66FF867C}">
                  <a14:compatExt spid="_x0000_s86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229</xdr:row>
          <xdr:rowOff>10886</xdr:rowOff>
        </xdr:from>
        <xdr:to>
          <xdr:col>7</xdr:col>
          <xdr:colOff>190500</xdr:colOff>
          <xdr:row>230</xdr:row>
          <xdr:rowOff>255814</xdr:rowOff>
        </xdr:to>
        <xdr:sp macro="" textlink="">
          <xdr:nvSpPr>
            <xdr:cNvPr id="8618" name="Group Box 426" hidden="1">
              <a:extLst>
                <a:ext uri="{63B3BB69-23CF-44E3-9099-C40C66FF867C}">
                  <a14:compatExt spid="_x0000_s86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229</xdr:row>
          <xdr:rowOff>38100</xdr:rowOff>
        </xdr:from>
        <xdr:to>
          <xdr:col>4</xdr:col>
          <xdr:colOff>163286</xdr:colOff>
          <xdr:row>230</xdr:row>
          <xdr:rowOff>239486</xdr:rowOff>
        </xdr:to>
        <xdr:sp macro="" textlink="">
          <xdr:nvSpPr>
            <xdr:cNvPr id="8619" name="Option Button 427" hidden="1">
              <a:extLst>
                <a:ext uri="{63B3BB69-23CF-44E3-9099-C40C66FF867C}">
                  <a14:compatExt spid="_x0000_s8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229</xdr:row>
          <xdr:rowOff>38100</xdr:rowOff>
        </xdr:from>
        <xdr:to>
          <xdr:col>6</xdr:col>
          <xdr:colOff>76200</xdr:colOff>
          <xdr:row>230</xdr:row>
          <xdr:rowOff>239486</xdr:rowOff>
        </xdr:to>
        <xdr:sp macro="" textlink="">
          <xdr:nvSpPr>
            <xdr:cNvPr id="8620" name="Option Button 428" hidden="1">
              <a:extLst>
                <a:ext uri="{63B3BB69-23CF-44E3-9099-C40C66FF867C}">
                  <a14:compatExt spid="_x0000_s86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229</xdr:row>
          <xdr:rowOff>38100</xdr:rowOff>
        </xdr:from>
        <xdr:to>
          <xdr:col>7</xdr:col>
          <xdr:colOff>179614</xdr:colOff>
          <xdr:row>230</xdr:row>
          <xdr:rowOff>239486</xdr:rowOff>
        </xdr:to>
        <xdr:sp macro="" textlink="">
          <xdr:nvSpPr>
            <xdr:cNvPr id="8621" name="Option Button 429" hidden="1">
              <a:extLst>
                <a:ext uri="{63B3BB69-23CF-44E3-9099-C40C66FF867C}">
                  <a14:compatExt spid="_x0000_s86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233</xdr:row>
          <xdr:rowOff>10886</xdr:rowOff>
        </xdr:from>
        <xdr:to>
          <xdr:col>7</xdr:col>
          <xdr:colOff>190500</xdr:colOff>
          <xdr:row>234</xdr:row>
          <xdr:rowOff>266700</xdr:rowOff>
        </xdr:to>
        <xdr:sp macro="" textlink="">
          <xdr:nvSpPr>
            <xdr:cNvPr id="8622" name="Group Box 430" hidden="1">
              <a:extLst>
                <a:ext uri="{63B3BB69-23CF-44E3-9099-C40C66FF867C}">
                  <a14:compatExt spid="_x0000_s8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233</xdr:row>
          <xdr:rowOff>38100</xdr:rowOff>
        </xdr:from>
        <xdr:to>
          <xdr:col>4</xdr:col>
          <xdr:colOff>163286</xdr:colOff>
          <xdr:row>234</xdr:row>
          <xdr:rowOff>255814</xdr:rowOff>
        </xdr:to>
        <xdr:sp macro="" textlink="">
          <xdr:nvSpPr>
            <xdr:cNvPr id="8623" name="Option Button 431" hidden="1">
              <a:extLst>
                <a:ext uri="{63B3BB69-23CF-44E3-9099-C40C66FF867C}">
                  <a14:compatExt spid="_x0000_s8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233</xdr:row>
          <xdr:rowOff>38100</xdr:rowOff>
        </xdr:from>
        <xdr:to>
          <xdr:col>6</xdr:col>
          <xdr:colOff>76200</xdr:colOff>
          <xdr:row>234</xdr:row>
          <xdr:rowOff>255814</xdr:rowOff>
        </xdr:to>
        <xdr:sp macro="" textlink="">
          <xdr:nvSpPr>
            <xdr:cNvPr id="8624" name="Option Button 432" hidden="1">
              <a:extLst>
                <a:ext uri="{63B3BB69-23CF-44E3-9099-C40C66FF867C}">
                  <a14:compatExt spid="_x0000_s8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233</xdr:row>
          <xdr:rowOff>38100</xdr:rowOff>
        </xdr:from>
        <xdr:to>
          <xdr:col>7</xdr:col>
          <xdr:colOff>179614</xdr:colOff>
          <xdr:row>234</xdr:row>
          <xdr:rowOff>255814</xdr:rowOff>
        </xdr:to>
        <xdr:sp macro="" textlink="">
          <xdr:nvSpPr>
            <xdr:cNvPr id="8625" name="Option Button 433" hidden="1">
              <a:extLst>
                <a:ext uri="{63B3BB69-23CF-44E3-9099-C40C66FF867C}">
                  <a14:compatExt spid="_x0000_s8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237</xdr:row>
          <xdr:rowOff>10886</xdr:rowOff>
        </xdr:from>
        <xdr:to>
          <xdr:col>7</xdr:col>
          <xdr:colOff>190500</xdr:colOff>
          <xdr:row>238</xdr:row>
          <xdr:rowOff>266700</xdr:rowOff>
        </xdr:to>
        <xdr:sp macro="" textlink="">
          <xdr:nvSpPr>
            <xdr:cNvPr id="8626" name="Group Box 434" hidden="1">
              <a:extLst>
                <a:ext uri="{63B3BB69-23CF-44E3-9099-C40C66FF867C}">
                  <a14:compatExt spid="_x0000_s86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237</xdr:row>
          <xdr:rowOff>38100</xdr:rowOff>
        </xdr:from>
        <xdr:to>
          <xdr:col>4</xdr:col>
          <xdr:colOff>163286</xdr:colOff>
          <xdr:row>238</xdr:row>
          <xdr:rowOff>255814</xdr:rowOff>
        </xdr:to>
        <xdr:sp macro="" textlink="">
          <xdr:nvSpPr>
            <xdr:cNvPr id="8627" name="Option Button 435" hidden="1">
              <a:extLst>
                <a:ext uri="{63B3BB69-23CF-44E3-9099-C40C66FF867C}">
                  <a14:compatExt spid="_x0000_s86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237</xdr:row>
          <xdr:rowOff>38100</xdr:rowOff>
        </xdr:from>
        <xdr:to>
          <xdr:col>6</xdr:col>
          <xdr:colOff>76200</xdr:colOff>
          <xdr:row>238</xdr:row>
          <xdr:rowOff>255814</xdr:rowOff>
        </xdr:to>
        <xdr:sp macro="" textlink="">
          <xdr:nvSpPr>
            <xdr:cNvPr id="8628" name="Option Button 436" hidden="1">
              <a:extLst>
                <a:ext uri="{63B3BB69-23CF-44E3-9099-C40C66FF867C}">
                  <a14:compatExt spid="_x0000_s8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237</xdr:row>
          <xdr:rowOff>38100</xdr:rowOff>
        </xdr:from>
        <xdr:to>
          <xdr:col>7</xdr:col>
          <xdr:colOff>179614</xdr:colOff>
          <xdr:row>238</xdr:row>
          <xdr:rowOff>255814</xdr:rowOff>
        </xdr:to>
        <xdr:sp macro="" textlink="">
          <xdr:nvSpPr>
            <xdr:cNvPr id="8629" name="Option Button 437" hidden="1">
              <a:extLst>
                <a:ext uri="{63B3BB69-23CF-44E3-9099-C40C66FF867C}">
                  <a14:compatExt spid="_x0000_s8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241</xdr:row>
          <xdr:rowOff>10886</xdr:rowOff>
        </xdr:from>
        <xdr:to>
          <xdr:col>7</xdr:col>
          <xdr:colOff>190500</xdr:colOff>
          <xdr:row>243</xdr:row>
          <xdr:rowOff>48986</xdr:rowOff>
        </xdr:to>
        <xdr:sp macro="" textlink="">
          <xdr:nvSpPr>
            <xdr:cNvPr id="8630" name="Group Box 438" hidden="1">
              <a:extLst>
                <a:ext uri="{63B3BB69-23CF-44E3-9099-C40C66FF867C}">
                  <a14:compatExt spid="_x0000_s8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241</xdr:row>
          <xdr:rowOff>38100</xdr:rowOff>
        </xdr:from>
        <xdr:to>
          <xdr:col>4</xdr:col>
          <xdr:colOff>163286</xdr:colOff>
          <xdr:row>243</xdr:row>
          <xdr:rowOff>38100</xdr:rowOff>
        </xdr:to>
        <xdr:sp macro="" textlink="">
          <xdr:nvSpPr>
            <xdr:cNvPr id="8631" name="Option Button 439" hidden="1">
              <a:extLst>
                <a:ext uri="{63B3BB69-23CF-44E3-9099-C40C66FF867C}">
                  <a14:compatExt spid="_x0000_s8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241</xdr:row>
          <xdr:rowOff>38100</xdr:rowOff>
        </xdr:from>
        <xdr:to>
          <xdr:col>6</xdr:col>
          <xdr:colOff>76200</xdr:colOff>
          <xdr:row>243</xdr:row>
          <xdr:rowOff>38100</xdr:rowOff>
        </xdr:to>
        <xdr:sp macro="" textlink="">
          <xdr:nvSpPr>
            <xdr:cNvPr id="8632" name="Option Button 440" hidden="1">
              <a:extLst>
                <a:ext uri="{63B3BB69-23CF-44E3-9099-C40C66FF867C}">
                  <a14:compatExt spid="_x0000_s8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201386</xdr:colOff>
          <xdr:row>241</xdr:row>
          <xdr:rowOff>38100</xdr:rowOff>
        </xdr:from>
        <xdr:to>
          <xdr:col>7</xdr:col>
          <xdr:colOff>179614</xdr:colOff>
          <xdr:row>243</xdr:row>
          <xdr:rowOff>38100</xdr:rowOff>
        </xdr:to>
        <xdr:sp macro="" textlink="">
          <xdr:nvSpPr>
            <xdr:cNvPr id="8633" name="Option Button 441" hidden="1">
              <a:extLst>
                <a:ext uri="{63B3BB69-23CF-44E3-9099-C40C66FF867C}">
                  <a14:compatExt spid="_x0000_s8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141514</xdr:colOff>
          <xdr:row>196</xdr:row>
          <xdr:rowOff>10886</xdr:rowOff>
        </xdr:from>
        <xdr:to>
          <xdr:col>7</xdr:col>
          <xdr:colOff>190500</xdr:colOff>
          <xdr:row>197</xdr:row>
          <xdr:rowOff>266700</xdr:rowOff>
        </xdr:to>
        <xdr:sp macro="" textlink="">
          <xdr:nvSpPr>
            <xdr:cNvPr id="8634" name="Group Box 442" hidden="1">
              <a:extLst>
                <a:ext uri="{63B3BB69-23CF-44E3-9099-C40C66FF867C}">
                  <a14:compatExt spid="_x0000_s8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196</xdr:row>
          <xdr:rowOff>38100</xdr:rowOff>
        </xdr:from>
        <xdr:to>
          <xdr:col>4</xdr:col>
          <xdr:colOff>163286</xdr:colOff>
          <xdr:row>197</xdr:row>
          <xdr:rowOff>255814</xdr:rowOff>
        </xdr:to>
        <xdr:sp macro="" textlink="">
          <xdr:nvSpPr>
            <xdr:cNvPr id="8635" name="Option Button 443" hidden="1">
              <a:extLst>
                <a:ext uri="{63B3BB69-23CF-44E3-9099-C40C66FF867C}">
                  <a14:compatExt spid="_x0000_s8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103414</xdr:colOff>
          <xdr:row>196</xdr:row>
          <xdr:rowOff>38100</xdr:rowOff>
        </xdr:from>
        <xdr:to>
          <xdr:col>6</xdr:col>
          <xdr:colOff>76200</xdr:colOff>
          <xdr:row>197</xdr:row>
          <xdr:rowOff>255814</xdr:rowOff>
        </xdr:to>
        <xdr:sp macro="" textlink="">
          <xdr:nvSpPr>
            <xdr:cNvPr id="8636" name="Option Button 444" hidden="1">
              <a:extLst>
                <a:ext uri="{63B3BB69-23CF-44E3-9099-C40C66FF867C}">
                  <a14:compatExt spid="_x0000_s8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163286</xdr:colOff>
          <xdr:row>171</xdr:row>
          <xdr:rowOff>65314</xdr:rowOff>
        </xdr:from>
        <xdr:to>
          <xdr:col>6</xdr:col>
          <xdr:colOff>141514</xdr:colOff>
          <xdr:row>173</xdr:row>
          <xdr:rowOff>27214</xdr:rowOff>
        </xdr:to>
        <xdr:sp macro="" textlink="">
          <xdr:nvSpPr>
            <xdr:cNvPr id="8694" name="Check Box 502" hidden="1">
              <a:extLst>
                <a:ext uri="{63B3BB69-23CF-44E3-9099-C40C66FF867C}">
                  <a14:compatExt spid="_x0000_s8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163286</xdr:colOff>
          <xdr:row>171</xdr:row>
          <xdr:rowOff>65314</xdr:rowOff>
        </xdr:from>
        <xdr:to>
          <xdr:col>18</xdr:col>
          <xdr:colOff>141514</xdr:colOff>
          <xdr:row>173</xdr:row>
          <xdr:rowOff>48986</xdr:rowOff>
        </xdr:to>
        <xdr:sp macro="" textlink="">
          <xdr:nvSpPr>
            <xdr:cNvPr id="8695" name="Check Box 503" hidden="1">
              <a:extLst>
                <a:ext uri="{63B3BB69-23CF-44E3-9099-C40C66FF867C}">
                  <a14:compatExt spid="_x0000_s8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163286</xdr:colOff>
          <xdr:row>171</xdr:row>
          <xdr:rowOff>65314</xdr:rowOff>
        </xdr:from>
        <xdr:to>
          <xdr:col>34</xdr:col>
          <xdr:colOff>141514</xdr:colOff>
          <xdr:row>173</xdr:row>
          <xdr:rowOff>27214</xdr:rowOff>
        </xdr:to>
        <xdr:sp macro="" textlink="">
          <xdr:nvSpPr>
            <xdr:cNvPr id="8696" name="Check Box 504" hidden="1">
              <a:extLst>
                <a:ext uri="{63B3BB69-23CF-44E3-9099-C40C66FF867C}">
                  <a14:compatExt spid="_x0000_s8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163286</xdr:colOff>
          <xdr:row>173</xdr:row>
          <xdr:rowOff>65314</xdr:rowOff>
        </xdr:from>
        <xdr:to>
          <xdr:col>6</xdr:col>
          <xdr:colOff>141514</xdr:colOff>
          <xdr:row>175</xdr:row>
          <xdr:rowOff>27214</xdr:rowOff>
        </xdr:to>
        <xdr:sp macro="" textlink="">
          <xdr:nvSpPr>
            <xdr:cNvPr id="8697" name="Check Box 505" hidden="1">
              <a:extLst>
                <a:ext uri="{63B3BB69-23CF-44E3-9099-C40C66FF867C}">
                  <a14:compatExt spid="_x0000_s8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173</xdr:row>
          <xdr:rowOff>87086</xdr:rowOff>
        </xdr:from>
        <xdr:to>
          <xdr:col>18</xdr:col>
          <xdr:colOff>125186</xdr:colOff>
          <xdr:row>175</xdr:row>
          <xdr:rowOff>48986</xdr:rowOff>
        </xdr:to>
        <xdr:sp macro="" textlink="">
          <xdr:nvSpPr>
            <xdr:cNvPr id="8698" name="Check Box 506" hidden="1">
              <a:extLst>
                <a:ext uri="{63B3BB69-23CF-44E3-9099-C40C66FF867C}">
                  <a14:compatExt spid="_x0000_s8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163286</xdr:colOff>
          <xdr:row>173</xdr:row>
          <xdr:rowOff>65314</xdr:rowOff>
        </xdr:from>
        <xdr:to>
          <xdr:col>34</xdr:col>
          <xdr:colOff>141514</xdr:colOff>
          <xdr:row>175</xdr:row>
          <xdr:rowOff>27214</xdr:rowOff>
        </xdr:to>
        <xdr:sp macro="" textlink="">
          <xdr:nvSpPr>
            <xdr:cNvPr id="8699" name="Check Box 507" hidden="1">
              <a:extLst>
                <a:ext uri="{63B3BB69-23CF-44E3-9099-C40C66FF867C}">
                  <a14:compatExt spid="_x0000_s8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163286</xdr:colOff>
          <xdr:row>175</xdr:row>
          <xdr:rowOff>65314</xdr:rowOff>
        </xdr:from>
        <xdr:to>
          <xdr:col>6</xdr:col>
          <xdr:colOff>141514</xdr:colOff>
          <xdr:row>177</xdr:row>
          <xdr:rowOff>27214</xdr:rowOff>
        </xdr:to>
        <xdr:sp macro="" textlink="">
          <xdr:nvSpPr>
            <xdr:cNvPr id="8700" name="Check Box 508" hidden="1">
              <a:extLst>
                <a:ext uri="{63B3BB69-23CF-44E3-9099-C40C66FF867C}">
                  <a14:compatExt spid="_x0000_s8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163286</xdr:colOff>
          <xdr:row>175</xdr:row>
          <xdr:rowOff>65314</xdr:rowOff>
        </xdr:from>
        <xdr:to>
          <xdr:col>18</xdr:col>
          <xdr:colOff>141514</xdr:colOff>
          <xdr:row>177</xdr:row>
          <xdr:rowOff>27214</xdr:rowOff>
        </xdr:to>
        <xdr:sp macro="" textlink="">
          <xdr:nvSpPr>
            <xdr:cNvPr id="8701" name="Check Box 509" hidden="1">
              <a:extLst>
                <a:ext uri="{63B3BB69-23CF-44E3-9099-C40C66FF867C}">
                  <a14:compatExt spid="_x0000_s8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163286</xdr:colOff>
          <xdr:row>175</xdr:row>
          <xdr:rowOff>65314</xdr:rowOff>
        </xdr:from>
        <xdr:to>
          <xdr:col>34</xdr:col>
          <xdr:colOff>141514</xdr:colOff>
          <xdr:row>177</xdr:row>
          <xdr:rowOff>27214</xdr:rowOff>
        </xdr:to>
        <xdr:sp macro="" textlink="">
          <xdr:nvSpPr>
            <xdr:cNvPr id="8702" name="Check Box 510" hidden="1">
              <a:extLst>
                <a:ext uri="{63B3BB69-23CF-44E3-9099-C40C66FF867C}">
                  <a14:compatExt spid="_x0000_s8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177</xdr:row>
          <xdr:rowOff>65314</xdr:rowOff>
        </xdr:from>
        <xdr:to>
          <xdr:col>6</xdr:col>
          <xdr:colOff>125186</xdr:colOff>
          <xdr:row>179</xdr:row>
          <xdr:rowOff>27214</xdr:rowOff>
        </xdr:to>
        <xdr:sp macro="" textlink="">
          <xdr:nvSpPr>
            <xdr:cNvPr id="8703" name="Check Box 511" hidden="1">
              <a:extLst>
                <a:ext uri="{63B3BB69-23CF-44E3-9099-C40C66FF867C}">
                  <a14:compatExt spid="_x0000_s8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163286</xdr:colOff>
          <xdr:row>177</xdr:row>
          <xdr:rowOff>65314</xdr:rowOff>
        </xdr:from>
        <xdr:to>
          <xdr:col>18</xdr:col>
          <xdr:colOff>141514</xdr:colOff>
          <xdr:row>179</xdr:row>
          <xdr:rowOff>27214</xdr:rowOff>
        </xdr:to>
        <xdr:sp macro="" textlink="">
          <xdr:nvSpPr>
            <xdr:cNvPr id="8704" name="Check Box 512" hidden="1">
              <a:extLst>
                <a:ext uri="{63B3BB69-23CF-44E3-9099-C40C66FF867C}">
                  <a14:compatExt spid="_x0000_s8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163286</xdr:colOff>
          <xdr:row>177</xdr:row>
          <xdr:rowOff>65314</xdr:rowOff>
        </xdr:from>
        <xdr:to>
          <xdr:col>34</xdr:col>
          <xdr:colOff>141514</xdr:colOff>
          <xdr:row>179</xdr:row>
          <xdr:rowOff>27214</xdr:rowOff>
        </xdr:to>
        <xdr:sp macro="" textlink="">
          <xdr:nvSpPr>
            <xdr:cNvPr id="8705" name="Check Box 513" hidden="1">
              <a:extLst>
                <a:ext uri="{63B3BB69-23CF-44E3-9099-C40C66FF867C}">
                  <a14:compatExt spid="_x0000_s87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163286</xdr:colOff>
          <xdr:row>179</xdr:row>
          <xdr:rowOff>65314</xdr:rowOff>
        </xdr:from>
        <xdr:to>
          <xdr:col>6</xdr:col>
          <xdr:colOff>141514</xdr:colOff>
          <xdr:row>181</xdr:row>
          <xdr:rowOff>27214</xdr:rowOff>
        </xdr:to>
        <xdr:sp macro="" textlink="">
          <xdr:nvSpPr>
            <xdr:cNvPr id="8706" name="Check Box 514" hidden="1">
              <a:extLst>
                <a:ext uri="{63B3BB69-23CF-44E3-9099-C40C66FF867C}">
                  <a14:compatExt spid="_x0000_s8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163286</xdr:colOff>
          <xdr:row>179</xdr:row>
          <xdr:rowOff>65314</xdr:rowOff>
        </xdr:from>
        <xdr:to>
          <xdr:col>18</xdr:col>
          <xdr:colOff>141514</xdr:colOff>
          <xdr:row>181</xdr:row>
          <xdr:rowOff>27214</xdr:rowOff>
        </xdr:to>
        <xdr:sp macro="" textlink="">
          <xdr:nvSpPr>
            <xdr:cNvPr id="8707" name="Check Box 515" hidden="1">
              <a:extLst>
                <a:ext uri="{63B3BB69-23CF-44E3-9099-C40C66FF867C}">
                  <a14:compatExt spid="_x0000_s8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163286</xdr:colOff>
          <xdr:row>179</xdr:row>
          <xdr:rowOff>65314</xdr:rowOff>
        </xdr:from>
        <xdr:to>
          <xdr:col>34</xdr:col>
          <xdr:colOff>141514</xdr:colOff>
          <xdr:row>181</xdr:row>
          <xdr:rowOff>27214</xdr:rowOff>
        </xdr:to>
        <xdr:sp macro="" textlink="">
          <xdr:nvSpPr>
            <xdr:cNvPr id="8708" name="Check Box 516" hidden="1">
              <a:extLst>
                <a:ext uri="{63B3BB69-23CF-44E3-9099-C40C66FF867C}">
                  <a14:compatExt spid="_x0000_s8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45</xdr:row>
          <xdr:rowOff>38100</xdr:rowOff>
        </xdr:from>
        <xdr:to>
          <xdr:col>22</xdr:col>
          <xdr:colOff>27214</xdr:colOff>
          <xdr:row>47</xdr:row>
          <xdr:rowOff>0</xdr:rowOff>
        </xdr:to>
        <xdr:sp macro="" textlink="">
          <xdr:nvSpPr>
            <xdr:cNvPr id="8711" name="Check Box 519" hidden="1">
              <a:extLst>
                <a:ext uri="{63B3BB69-23CF-44E3-9099-C40C66FF867C}">
                  <a14:compatExt spid="_x0000_s8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REFERENCES CHECKED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163286</xdr:colOff>
          <xdr:row>45</xdr:row>
          <xdr:rowOff>48986</xdr:rowOff>
        </xdr:from>
        <xdr:to>
          <xdr:col>28</xdr:col>
          <xdr:colOff>76200</xdr:colOff>
          <xdr:row>47</xdr:row>
          <xdr:rowOff>10886</xdr:rowOff>
        </xdr:to>
        <xdr:sp macro="" textlink="">
          <xdr:nvSpPr>
            <xdr:cNvPr id="8712" name="Check Box 520" hidden="1">
              <a:extLst>
                <a:ext uri="{63B3BB69-23CF-44E3-9099-C40C66FF867C}">
                  <a14:compatExt spid="_x0000_s8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CBCs CHECKED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10886</xdr:colOff>
          <xdr:row>45</xdr:row>
          <xdr:rowOff>48986</xdr:rowOff>
        </xdr:from>
        <xdr:to>
          <xdr:col>35</xdr:col>
          <xdr:colOff>179614</xdr:colOff>
          <xdr:row>47</xdr:row>
          <xdr:rowOff>10886</xdr:rowOff>
        </xdr:to>
        <xdr:sp macro="" textlink="">
          <xdr:nvSpPr>
            <xdr:cNvPr id="8713" name="Check Box 521" hidden="1">
              <a:extLst>
                <a:ext uri="{63B3BB69-23CF-44E3-9099-C40C66FF867C}">
                  <a14:compatExt spid="_x0000_s8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RIGHT OF REFUSAL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125186</xdr:colOff>
          <xdr:row>45</xdr:row>
          <xdr:rowOff>48986</xdr:rowOff>
        </xdr:from>
        <xdr:to>
          <xdr:col>43</xdr:col>
          <xdr:colOff>217714</xdr:colOff>
          <xdr:row>47</xdr:row>
          <xdr:rowOff>10886</xdr:rowOff>
        </xdr:to>
        <xdr:sp macro="" textlink="">
          <xdr:nvSpPr>
            <xdr:cNvPr id="8714" name="Check Box 522" hidden="1">
              <a:extLst>
                <a:ext uri="{63B3BB69-23CF-44E3-9099-C40C66FF867C}">
                  <a14:compatExt spid="_x0000_s87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SEPARATE ENTRANCE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48986</xdr:rowOff>
        </xdr:from>
        <xdr:to>
          <xdr:col>19</xdr:col>
          <xdr:colOff>38100</xdr:colOff>
          <xdr:row>49</xdr:row>
          <xdr:rowOff>10886</xdr:rowOff>
        </xdr:to>
        <xdr:sp macro="" textlink="">
          <xdr:nvSpPr>
            <xdr:cNvPr id="8715" name="Check Box 523" hidden="1">
              <a:extLst>
                <a:ext uri="{63B3BB69-23CF-44E3-9099-C40C66FF867C}">
                  <a14:compatExt spid="_x0000_s87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DINING HALL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27214</xdr:colOff>
          <xdr:row>47</xdr:row>
          <xdr:rowOff>65314</xdr:rowOff>
        </xdr:from>
        <xdr:to>
          <xdr:col>25</xdr:col>
          <xdr:colOff>141514</xdr:colOff>
          <xdr:row>49</xdr:row>
          <xdr:rowOff>10886</xdr:rowOff>
        </xdr:to>
        <xdr:sp macro="" textlink="">
          <xdr:nvSpPr>
            <xdr:cNvPr id="8716" name="Check Box 524" hidden="1">
              <a:extLst>
                <a:ext uri="{63B3BB69-23CF-44E3-9099-C40C66FF867C}">
                  <a14:compatExt spid="_x0000_s87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MAID SERVICE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87086</xdr:colOff>
          <xdr:row>47</xdr:row>
          <xdr:rowOff>48986</xdr:rowOff>
        </xdr:from>
        <xdr:to>
          <xdr:col>43</xdr:col>
          <xdr:colOff>76200</xdr:colOff>
          <xdr:row>49</xdr:row>
          <xdr:rowOff>10886</xdr:rowOff>
        </xdr:to>
        <xdr:sp macro="" textlink="">
          <xdr:nvSpPr>
            <xdr:cNvPr id="8717" name="Check Box 525" hidden="1">
              <a:extLst>
                <a:ext uri="{63B3BB69-23CF-44E3-9099-C40C66FF867C}">
                  <a14:compatExt spid="_x0000_s87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COI from MGMT ENTITY</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9525</xdr:colOff>
      <xdr:row>2</xdr:row>
      <xdr:rowOff>55469</xdr:rowOff>
    </xdr:from>
    <xdr:to>
      <xdr:col>7</xdr:col>
      <xdr:colOff>85725</xdr:colOff>
      <xdr:row>4</xdr:row>
      <xdr:rowOff>171450</xdr:rowOff>
    </xdr:to>
    <xdr:sp macro="[0]!PackageRecommendations" textlink="">
      <xdr:nvSpPr>
        <xdr:cNvPr id="9226" name="AutoShape 10"/>
        <xdr:cNvSpPr>
          <a:spLocks noChangeArrowheads="1"/>
        </xdr:cNvSpPr>
      </xdr:nvSpPr>
      <xdr:spPr bwMode="auto">
        <a:xfrm>
          <a:off x="7988113" y="414057"/>
          <a:ext cx="1286436" cy="429746"/>
        </a:xfrm>
        <a:prstGeom prst="roundRect">
          <a:avLst>
            <a:gd name="adj" fmla="val 16667"/>
          </a:avLst>
        </a:prstGeom>
        <a:solidFill>
          <a:srgbClr val="FFFF99"/>
        </a:solidFill>
        <a:ln w="9525">
          <a:solidFill>
            <a:srgbClr val="0000FF"/>
          </a:solidFill>
          <a:round/>
          <a:headEnd/>
          <a:tailEnd/>
        </a:ln>
      </xdr:spPr>
      <xdr:txBody>
        <a:bodyPr vertOverflow="clip" wrap="square" lIns="27432" tIns="22860" rIns="27432" bIns="0" anchor="t" upright="1"/>
        <a:lstStyle/>
        <a:p>
          <a:pPr algn="ctr" rtl="0">
            <a:defRPr sz="1000"/>
          </a:pPr>
          <a:r>
            <a:rPr lang="en-US" sz="1000" b="1" i="0" strike="noStrike">
              <a:solidFill>
                <a:srgbClr val="0000FF"/>
              </a:solidFill>
              <a:latin typeface="Arial"/>
              <a:cs typeface="Arial"/>
            </a:rPr>
            <a:t>Show Package Recommendations</a:t>
          </a:r>
        </a:p>
      </xdr:txBody>
    </xdr:sp>
    <xdr:clientData/>
  </xdr:twoCellAnchor>
  <xdr:twoCellAnchor>
    <xdr:from>
      <xdr:col>5</xdr:col>
      <xdr:colOff>27456</xdr:colOff>
      <xdr:row>37</xdr:row>
      <xdr:rowOff>779367</xdr:rowOff>
    </xdr:from>
    <xdr:to>
      <xdr:col>7</xdr:col>
      <xdr:colOff>103656</xdr:colOff>
      <xdr:row>39</xdr:row>
      <xdr:rowOff>211789</xdr:rowOff>
    </xdr:to>
    <xdr:sp macro="[0]!WorkersCompRecommendations" textlink="">
      <xdr:nvSpPr>
        <xdr:cNvPr id="4" name="AutoShape 10"/>
        <xdr:cNvSpPr>
          <a:spLocks noChangeArrowheads="1"/>
        </xdr:cNvSpPr>
      </xdr:nvSpPr>
      <xdr:spPr bwMode="auto">
        <a:xfrm>
          <a:off x="8006044" y="17610602"/>
          <a:ext cx="1286436" cy="418540"/>
        </a:xfrm>
        <a:prstGeom prst="roundRect">
          <a:avLst>
            <a:gd name="adj" fmla="val 16667"/>
          </a:avLst>
        </a:prstGeom>
        <a:solidFill>
          <a:srgbClr val="FFFF99"/>
        </a:solidFill>
        <a:ln w="9525">
          <a:solidFill>
            <a:srgbClr val="0000FF"/>
          </a:solidFill>
          <a:round/>
          <a:headEnd/>
          <a:tailEnd/>
        </a:ln>
      </xdr:spPr>
      <xdr:txBody>
        <a:bodyPr vertOverflow="clip" wrap="square" lIns="27432" tIns="22860" rIns="27432" bIns="0" anchor="t" upright="1"/>
        <a:lstStyle/>
        <a:p>
          <a:pPr algn="ctr" rtl="0">
            <a:defRPr sz="1000"/>
          </a:pPr>
          <a:r>
            <a:rPr lang="en-US" sz="1000" b="1" i="0" strike="noStrike">
              <a:solidFill>
                <a:srgbClr val="0000FF"/>
              </a:solidFill>
              <a:latin typeface="Arial"/>
              <a:cs typeface="Arial"/>
            </a:rPr>
            <a:t>Show WC Recommendations</a:t>
          </a:r>
        </a:p>
      </xdr:txBody>
    </xdr:sp>
    <xdr:clientData/>
  </xdr:twoCellAnchor>
  <xdr:twoCellAnchor>
    <xdr:from>
      <xdr:col>5</xdr:col>
      <xdr:colOff>27456</xdr:colOff>
      <xdr:row>61</xdr:row>
      <xdr:rowOff>160242</xdr:rowOff>
    </xdr:from>
    <xdr:to>
      <xdr:col>7</xdr:col>
      <xdr:colOff>103656</xdr:colOff>
      <xdr:row>64</xdr:row>
      <xdr:rowOff>21289</xdr:rowOff>
    </xdr:to>
    <xdr:sp macro="[0]!CampingRecommendations" textlink="">
      <xdr:nvSpPr>
        <xdr:cNvPr id="5" name="AutoShape 10"/>
        <xdr:cNvSpPr>
          <a:spLocks noChangeArrowheads="1"/>
        </xdr:cNvSpPr>
      </xdr:nvSpPr>
      <xdr:spPr bwMode="auto">
        <a:xfrm>
          <a:off x="8495181" y="10904442"/>
          <a:ext cx="1295400" cy="375397"/>
        </a:xfrm>
        <a:prstGeom prst="roundRect">
          <a:avLst>
            <a:gd name="adj" fmla="val 16667"/>
          </a:avLst>
        </a:prstGeom>
        <a:solidFill>
          <a:srgbClr val="FFFF99"/>
        </a:solidFill>
        <a:ln w="9525">
          <a:solidFill>
            <a:srgbClr val="0000FF"/>
          </a:solidFill>
          <a:round/>
          <a:headEnd/>
          <a:tailEnd/>
        </a:ln>
      </xdr:spPr>
      <xdr:txBody>
        <a:bodyPr vertOverflow="clip" wrap="square" lIns="27432" tIns="22860" rIns="27432" bIns="0" anchor="t" upright="1"/>
        <a:lstStyle/>
        <a:p>
          <a:pPr algn="ctr" rtl="0">
            <a:defRPr sz="1000"/>
          </a:pPr>
          <a:r>
            <a:rPr lang="en-US" sz="1000" b="1" i="0" strike="noStrike">
              <a:solidFill>
                <a:srgbClr val="0000FF"/>
              </a:solidFill>
              <a:latin typeface="Arial"/>
              <a:cs typeface="Arial"/>
            </a:rPr>
            <a:t>Show Camping Recommendations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pkvale/Application%20Data/Microsoft/Excel/Documents%20and%20Settings/pkvale/Local%20Settings/Temporary%20Internet%20Files/OLK7/2008%20WC%20ARA%20template%20v4-3.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A"/>
      <sheetName val="recommendations"/>
      <sheetName val="calculations"/>
      <sheetName val="forms"/>
    </sheetNames>
    <sheetDataSet>
      <sheetData sheetId="0" refreshError="1"/>
      <sheetData sheetId="1" refreshError="1"/>
      <sheetData sheetId="2" refreshError="1"/>
      <sheetData sheetId="3" refreshError="1">
        <row r="17">
          <cell r="J17" t="str">
            <v>none</v>
          </cell>
        </row>
        <row r="18">
          <cell r="J18" t="str">
            <v>owned - 4 season</v>
          </cell>
        </row>
        <row r="19">
          <cell r="J19" t="str">
            <v>owned - 3 season</v>
          </cell>
        </row>
        <row r="20">
          <cell r="J20" t="str">
            <v>owned - summer</v>
          </cell>
        </row>
        <row r="21">
          <cell r="J21" t="str">
            <v>leased</v>
          </cell>
        </row>
        <row r="22">
          <cell r="J22" t="str">
            <v>send to others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20.xml"/><Relationship Id="rId21" Type="http://schemas.openxmlformats.org/officeDocument/2006/relationships/ctrlProp" Target="../ctrlProps/ctrlProp24.xml"/><Relationship Id="rId42" Type="http://schemas.openxmlformats.org/officeDocument/2006/relationships/ctrlProp" Target="../ctrlProps/ctrlProp45.xml"/><Relationship Id="rId63" Type="http://schemas.openxmlformats.org/officeDocument/2006/relationships/ctrlProp" Target="../ctrlProps/ctrlProp66.xml"/><Relationship Id="rId84" Type="http://schemas.openxmlformats.org/officeDocument/2006/relationships/ctrlProp" Target="../ctrlProps/ctrlProp87.xml"/><Relationship Id="rId138" Type="http://schemas.openxmlformats.org/officeDocument/2006/relationships/ctrlProp" Target="../ctrlProps/ctrlProp141.xml"/><Relationship Id="rId159" Type="http://schemas.openxmlformats.org/officeDocument/2006/relationships/ctrlProp" Target="../ctrlProps/ctrlProp162.xml"/><Relationship Id="rId170" Type="http://schemas.openxmlformats.org/officeDocument/2006/relationships/ctrlProp" Target="../ctrlProps/ctrlProp173.xml"/><Relationship Id="rId191" Type="http://schemas.openxmlformats.org/officeDocument/2006/relationships/ctrlProp" Target="../ctrlProps/ctrlProp194.xml"/><Relationship Id="rId205" Type="http://schemas.openxmlformats.org/officeDocument/2006/relationships/ctrlProp" Target="../ctrlProps/ctrlProp208.xml"/><Relationship Id="rId226" Type="http://schemas.openxmlformats.org/officeDocument/2006/relationships/ctrlProp" Target="../ctrlProps/ctrlProp229.xml"/><Relationship Id="rId247" Type="http://schemas.openxmlformats.org/officeDocument/2006/relationships/ctrlProp" Target="../ctrlProps/ctrlProp250.xml"/><Relationship Id="rId107" Type="http://schemas.openxmlformats.org/officeDocument/2006/relationships/ctrlProp" Target="../ctrlProps/ctrlProp110.xml"/><Relationship Id="rId11" Type="http://schemas.openxmlformats.org/officeDocument/2006/relationships/ctrlProp" Target="../ctrlProps/ctrlProp14.xml"/><Relationship Id="rId32" Type="http://schemas.openxmlformats.org/officeDocument/2006/relationships/ctrlProp" Target="../ctrlProps/ctrlProp35.xml"/><Relationship Id="rId53" Type="http://schemas.openxmlformats.org/officeDocument/2006/relationships/ctrlProp" Target="../ctrlProps/ctrlProp56.xml"/><Relationship Id="rId74" Type="http://schemas.openxmlformats.org/officeDocument/2006/relationships/ctrlProp" Target="../ctrlProps/ctrlProp77.xml"/><Relationship Id="rId128" Type="http://schemas.openxmlformats.org/officeDocument/2006/relationships/ctrlProp" Target="../ctrlProps/ctrlProp131.xml"/><Relationship Id="rId149" Type="http://schemas.openxmlformats.org/officeDocument/2006/relationships/ctrlProp" Target="../ctrlProps/ctrlProp152.xml"/><Relationship Id="rId5" Type="http://schemas.openxmlformats.org/officeDocument/2006/relationships/ctrlProp" Target="../ctrlProps/ctrlProp8.xml"/><Relationship Id="rId95" Type="http://schemas.openxmlformats.org/officeDocument/2006/relationships/ctrlProp" Target="../ctrlProps/ctrlProp98.xml"/><Relationship Id="rId160" Type="http://schemas.openxmlformats.org/officeDocument/2006/relationships/ctrlProp" Target="../ctrlProps/ctrlProp163.xml"/><Relationship Id="rId181" Type="http://schemas.openxmlformats.org/officeDocument/2006/relationships/ctrlProp" Target="../ctrlProps/ctrlProp184.xml"/><Relationship Id="rId216" Type="http://schemas.openxmlformats.org/officeDocument/2006/relationships/ctrlProp" Target="../ctrlProps/ctrlProp219.xml"/><Relationship Id="rId237" Type="http://schemas.openxmlformats.org/officeDocument/2006/relationships/ctrlProp" Target="../ctrlProps/ctrlProp240.xml"/><Relationship Id="rId22" Type="http://schemas.openxmlformats.org/officeDocument/2006/relationships/ctrlProp" Target="../ctrlProps/ctrlProp25.xml"/><Relationship Id="rId43" Type="http://schemas.openxmlformats.org/officeDocument/2006/relationships/ctrlProp" Target="../ctrlProps/ctrlProp46.xml"/><Relationship Id="rId64" Type="http://schemas.openxmlformats.org/officeDocument/2006/relationships/ctrlProp" Target="../ctrlProps/ctrlProp67.xml"/><Relationship Id="rId118" Type="http://schemas.openxmlformats.org/officeDocument/2006/relationships/ctrlProp" Target="../ctrlProps/ctrlProp121.xml"/><Relationship Id="rId139" Type="http://schemas.openxmlformats.org/officeDocument/2006/relationships/ctrlProp" Target="../ctrlProps/ctrlProp142.xml"/><Relationship Id="rId85" Type="http://schemas.openxmlformats.org/officeDocument/2006/relationships/ctrlProp" Target="../ctrlProps/ctrlProp88.xml"/><Relationship Id="rId150" Type="http://schemas.openxmlformats.org/officeDocument/2006/relationships/ctrlProp" Target="../ctrlProps/ctrlProp153.xml"/><Relationship Id="rId171" Type="http://schemas.openxmlformats.org/officeDocument/2006/relationships/ctrlProp" Target="../ctrlProps/ctrlProp174.xml"/><Relationship Id="rId192" Type="http://schemas.openxmlformats.org/officeDocument/2006/relationships/ctrlProp" Target="../ctrlProps/ctrlProp195.xml"/><Relationship Id="rId206" Type="http://schemas.openxmlformats.org/officeDocument/2006/relationships/ctrlProp" Target="../ctrlProps/ctrlProp209.xml"/><Relationship Id="rId227" Type="http://schemas.openxmlformats.org/officeDocument/2006/relationships/ctrlProp" Target="../ctrlProps/ctrlProp230.xml"/><Relationship Id="rId248" Type="http://schemas.openxmlformats.org/officeDocument/2006/relationships/ctrlProp" Target="../ctrlProps/ctrlProp251.xml"/><Relationship Id="rId12" Type="http://schemas.openxmlformats.org/officeDocument/2006/relationships/ctrlProp" Target="../ctrlProps/ctrlProp15.xml"/><Relationship Id="rId33" Type="http://schemas.openxmlformats.org/officeDocument/2006/relationships/ctrlProp" Target="../ctrlProps/ctrlProp36.xml"/><Relationship Id="rId108" Type="http://schemas.openxmlformats.org/officeDocument/2006/relationships/ctrlProp" Target="../ctrlProps/ctrlProp111.xml"/><Relationship Id="rId129" Type="http://schemas.openxmlformats.org/officeDocument/2006/relationships/ctrlProp" Target="../ctrlProps/ctrlProp132.xml"/><Relationship Id="rId54" Type="http://schemas.openxmlformats.org/officeDocument/2006/relationships/ctrlProp" Target="../ctrlProps/ctrlProp57.xml"/><Relationship Id="rId70" Type="http://schemas.openxmlformats.org/officeDocument/2006/relationships/ctrlProp" Target="../ctrlProps/ctrlProp73.xml"/><Relationship Id="rId75" Type="http://schemas.openxmlformats.org/officeDocument/2006/relationships/ctrlProp" Target="../ctrlProps/ctrlProp78.xml"/><Relationship Id="rId91" Type="http://schemas.openxmlformats.org/officeDocument/2006/relationships/ctrlProp" Target="../ctrlProps/ctrlProp94.xml"/><Relationship Id="rId96" Type="http://schemas.openxmlformats.org/officeDocument/2006/relationships/ctrlProp" Target="../ctrlProps/ctrlProp99.xml"/><Relationship Id="rId140" Type="http://schemas.openxmlformats.org/officeDocument/2006/relationships/ctrlProp" Target="../ctrlProps/ctrlProp143.xml"/><Relationship Id="rId145" Type="http://schemas.openxmlformats.org/officeDocument/2006/relationships/ctrlProp" Target="../ctrlProps/ctrlProp148.xml"/><Relationship Id="rId161" Type="http://schemas.openxmlformats.org/officeDocument/2006/relationships/ctrlProp" Target="../ctrlProps/ctrlProp164.xml"/><Relationship Id="rId166" Type="http://schemas.openxmlformats.org/officeDocument/2006/relationships/ctrlProp" Target="../ctrlProps/ctrlProp169.xml"/><Relationship Id="rId182" Type="http://schemas.openxmlformats.org/officeDocument/2006/relationships/ctrlProp" Target="../ctrlProps/ctrlProp185.xml"/><Relationship Id="rId187" Type="http://schemas.openxmlformats.org/officeDocument/2006/relationships/ctrlProp" Target="../ctrlProps/ctrlProp190.xml"/><Relationship Id="rId217" Type="http://schemas.openxmlformats.org/officeDocument/2006/relationships/ctrlProp" Target="../ctrlProps/ctrlProp220.xml"/><Relationship Id="rId1" Type="http://schemas.openxmlformats.org/officeDocument/2006/relationships/drawing" Target="../drawings/drawing2.xml"/><Relationship Id="rId6" Type="http://schemas.openxmlformats.org/officeDocument/2006/relationships/ctrlProp" Target="../ctrlProps/ctrlProp9.xml"/><Relationship Id="rId212" Type="http://schemas.openxmlformats.org/officeDocument/2006/relationships/ctrlProp" Target="../ctrlProps/ctrlProp215.xml"/><Relationship Id="rId233" Type="http://schemas.openxmlformats.org/officeDocument/2006/relationships/ctrlProp" Target="../ctrlProps/ctrlProp236.xml"/><Relationship Id="rId238" Type="http://schemas.openxmlformats.org/officeDocument/2006/relationships/ctrlProp" Target="../ctrlProps/ctrlProp241.xml"/><Relationship Id="rId254" Type="http://schemas.openxmlformats.org/officeDocument/2006/relationships/ctrlProp" Target="../ctrlProps/ctrlProp257.xml"/><Relationship Id="rId23" Type="http://schemas.openxmlformats.org/officeDocument/2006/relationships/ctrlProp" Target="../ctrlProps/ctrlProp26.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119" Type="http://schemas.openxmlformats.org/officeDocument/2006/relationships/ctrlProp" Target="../ctrlProps/ctrlProp122.xml"/><Relationship Id="rId44" Type="http://schemas.openxmlformats.org/officeDocument/2006/relationships/ctrlProp" Target="../ctrlProps/ctrlProp47.xml"/><Relationship Id="rId60" Type="http://schemas.openxmlformats.org/officeDocument/2006/relationships/ctrlProp" Target="../ctrlProps/ctrlProp63.xml"/><Relationship Id="rId65" Type="http://schemas.openxmlformats.org/officeDocument/2006/relationships/ctrlProp" Target="../ctrlProps/ctrlProp68.xml"/><Relationship Id="rId81" Type="http://schemas.openxmlformats.org/officeDocument/2006/relationships/ctrlProp" Target="../ctrlProps/ctrlProp84.xml"/><Relationship Id="rId86" Type="http://schemas.openxmlformats.org/officeDocument/2006/relationships/ctrlProp" Target="../ctrlProps/ctrlProp89.xml"/><Relationship Id="rId130" Type="http://schemas.openxmlformats.org/officeDocument/2006/relationships/ctrlProp" Target="../ctrlProps/ctrlProp133.xml"/><Relationship Id="rId135" Type="http://schemas.openxmlformats.org/officeDocument/2006/relationships/ctrlProp" Target="../ctrlProps/ctrlProp138.xml"/><Relationship Id="rId151" Type="http://schemas.openxmlformats.org/officeDocument/2006/relationships/ctrlProp" Target="../ctrlProps/ctrlProp154.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172" Type="http://schemas.openxmlformats.org/officeDocument/2006/relationships/ctrlProp" Target="../ctrlProps/ctrlProp175.xml"/><Relationship Id="rId193" Type="http://schemas.openxmlformats.org/officeDocument/2006/relationships/ctrlProp" Target="../ctrlProps/ctrlProp196.xml"/><Relationship Id="rId202" Type="http://schemas.openxmlformats.org/officeDocument/2006/relationships/ctrlProp" Target="../ctrlProps/ctrlProp205.xml"/><Relationship Id="rId207" Type="http://schemas.openxmlformats.org/officeDocument/2006/relationships/ctrlProp" Target="../ctrlProps/ctrlProp210.xml"/><Relationship Id="rId223" Type="http://schemas.openxmlformats.org/officeDocument/2006/relationships/ctrlProp" Target="../ctrlProps/ctrlProp226.xml"/><Relationship Id="rId228" Type="http://schemas.openxmlformats.org/officeDocument/2006/relationships/ctrlProp" Target="../ctrlProps/ctrlProp231.xml"/><Relationship Id="rId244" Type="http://schemas.openxmlformats.org/officeDocument/2006/relationships/ctrlProp" Target="../ctrlProps/ctrlProp247.xml"/><Relationship Id="rId249" Type="http://schemas.openxmlformats.org/officeDocument/2006/relationships/ctrlProp" Target="../ctrlProps/ctrlProp252.xml"/><Relationship Id="rId13" Type="http://schemas.openxmlformats.org/officeDocument/2006/relationships/ctrlProp" Target="../ctrlProps/ctrlProp16.xml"/><Relationship Id="rId18" Type="http://schemas.openxmlformats.org/officeDocument/2006/relationships/ctrlProp" Target="../ctrlProps/ctrlProp21.xml"/><Relationship Id="rId39" Type="http://schemas.openxmlformats.org/officeDocument/2006/relationships/ctrlProp" Target="../ctrlProps/ctrlProp42.xml"/><Relationship Id="rId109" Type="http://schemas.openxmlformats.org/officeDocument/2006/relationships/ctrlProp" Target="../ctrlProps/ctrlProp112.xml"/><Relationship Id="rId34" Type="http://schemas.openxmlformats.org/officeDocument/2006/relationships/ctrlProp" Target="../ctrlProps/ctrlProp37.xml"/><Relationship Id="rId50" Type="http://schemas.openxmlformats.org/officeDocument/2006/relationships/ctrlProp" Target="../ctrlProps/ctrlProp53.xml"/><Relationship Id="rId55" Type="http://schemas.openxmlformats.org/officeDocument/2006/relationships/ctrlProp" Target="../ctrlProps/ctrlProp58.xml"/><Relationship Id="rId76" Type="http://schemas.openxmlformats.org/officeDocument/2006/relationships/ctrlProp" Target="../ctrlProps/ctrlProp79.xml"/><Relationship Id="rId97" Type="http://schemas.openxmlformats.org/officeDocument/2006/relationships/ctrlProp" Target="../ctrlProps/ctrlProp100.xml"/><Relationship Id="rId104" Type="http://schemas.openxmlformats.org/officeDocument/2006/relationships/ctrlProp" Target="../ctrlProps/ctrlProp107.xml"/><Relationship Id="rId120" Type="http://schemas.openxmlformats.org/officeDocument/2006/relationships/ctrlProp" Target="../ctrlProps/ctrlProp123.xml"/><Relationship Id="rId125" Type="http://schemas.openxmlformats.org/officeDocument/2006/relationships/ctrlProp" Target="../ctrlProps/ctrlProp128.xml"/><Relationship Id="rId141" Type="http://schemas.openxmlformats.org/officeDocument/2006/relationships/ctrlProp" Target="../ctrlProps/ctrlProp144.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7" Type="http://schemas.openxmlformats.org/officeDocument/2006/relationships/ctrlProp" Target="../ctrlProps/ctrlProp10.xml"/><Relationship Id="rId71" Type="http://schemas.openxmlformats.org/officeDocument/2006/relationships/ctrlProp" Target="../ctrlProps/ctrlProp74.xml"/><Relationship Id="rId92" Type="http://schemas.openxmlformats.org/officeDocument/2006/relationships/ctrlProp" Target="../ctrlProps/ctrlProp95.xml"/><Relationship Id="rId162" Type="http://schemas.openxmlformats.org/officeDocument/2006/relationships/ctrlProp" Target="../ctrlProps/ctrlProp165.xml"/><Relationship Id="rId183" Type="http://schemas.openxmlformats.org/officeDocument/2006/relationships/ctrlProp" Target="../ctrlProps/ctrlProp186.xml"/><Relationship Id="rId213" Type="http://schemas.openxmlformats.org/officeDocument/2006/relationships/ctrlProp" Target="../ctrlProps/ctrlProp216.xml"/><Relationship Id="rId218" Type="http://schemas.openxmlformats.org/officeDocument/2006/relationships/ctrlProp" Target="../ctrlProps/ctrlProp221.xml"/><Relationship Id="rId234" Type="http://schemas.openxmlformats.org/officeDocument/2006/relationships/ctrlProp" Target="../ctrlProps/ctrlProp237.xml"/><Relationship Id="rId239" Type="http://schemas.openxmlformats.org/officeDocument/2006/relationships/ctrlProp" Target="../ctrlProps/ctrlProp242.xml"/><Relationship Id="rId2" Type="http://schemas.openxmlformats.org/officeDocument/2006/relationships/vmlDrawing" Target="../drawings/vmlDrawing2.vml"/><Relationship Id="rId29" Type="http://schemas.openxmlformats.org/officeDocument/2006/relationships/ctrlProp" Target="../ctrlProps/ctrlProp32.xml"/><Relationship Id="rId250" Type="http://schemas.openxmlformats.org/officeDocument/2006/relationships/ctrlProp" Target="../ctrlProps/ctrlProp253.xml"/><Relationship Id="rId255" Type="http://schemas.openxmlformats.org/officeDocument/2006/relationships/ctrlProp" Target="../ctrlProps/ctrlProp258.xml"/><Relationship Id="rId24" Type="http://schemas.openxmlformats.org/officeDocument/2006/relationships/ctrlProp" Target="../ctrlProps/ctrlProp27.xml"/><Relationship Id="rId40" Type="http://schemas.openxmlformats.org/officeDocument/2006/relationships/ctrlProp" Target="../ctrlProps/ctrlProp43.xml"/><Relationship Id="rId45" Type="http://schemas.openxmlformats.org/officeDocument/2006/relationships/ctrlProp" Target="../ctrlProps/ctrlProp48.xml"/><Relationship Id="rId66" Type="http://schemas.openxmlformats.org/officeDocument/2006/relationships/ctrlProp" Target="../ctrlProps/ctrlProp69.xml"/><Relationship Id="rId87" Type="http://schemas.openxmlformats.org/officeDocument/2006/relationships/ctrlProp" Target="../ctrlProps/ctrlProp90.xml"/><Relationship Id="rId110" Type="http://schemas.openxmlformats.org/officeDocument/2006/relationships/ctrlProp" Target="../ctrlProps/ctrlProp113.xml"/><Relationship Id="rId115" Type="http://schemas.openxmlformats.org/officeDocument/2006/relationships/ctrlProp" Target="../ctrlProps/ctrlProp118.xml"/><Relationship Id="rId131" Type="http://schemas.openxmlformats.org/officeDocument/2006/relationships/ctrlProp" Target="../ctrlProps/ctrlProp134.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61" Type="http://schemas.openxmlformats.org/officeDocument/2006/relationships/ctrlProp" Target="../ctrlProps/ctrlProp64.xml"/><Relationship Id="rId82" Type="http://schemas.openxmlformats.org/officeDocument/2006/relationships/ctrlProp" Target="../ctrlProps/ctrlProp85.xml"/><Relationship Id="rId152" Type="http://schemas.openxmlformats.org/officeDocument/2006/relationships/ctrlProp" Target="../ctrlProps/ctrlProp155.xml"/><Relationship Id="rId173" Type="http://schemas.openxmlformats.org/officeDocument/2006/relationships/ctrlProp" Target="../ctrlProps/ctrlProp176.xml"/><Relationship Id="rId194" Type="http://schemas.openxmlformats.org/officeDocument/2006/relationships/ctrlProp" Target="../ctrlProps/ctrlProp197.xml"/><Relationship Id="rId199" Type="http://schemas.openxmlformats.org/officeDocument/2006/relationships/ctrlProp" Target="../ctrlProps/ctrlProp202.xml"/><Relationship Id="rId203" Type="http://schemas.openxmlformats.org/officeDocument/2006/relationships/ctrlProp" Target="../ctrlProps/ctrlProp206.xml"/><Relationship Id="rId208" Type="http://schemas.openxmlformats.org/officeDocument/2006/relationships/ctrlProp" Target="../ctrlProps/ctrlProp211.xml"/><Relationship Id="rId229" Type="http://schemas.openxmlformats.org/officeDocument/2006/relationships/ctrlProp" Target="../ctrlProps/ctrlProp232.xml"/><Relationship Id="rId19" Type="http://schemas.openxmlformats.org/officeDocument/2006/relationships/ctrlProp" Target="../ctrlProps/ctrlProp22.xml"/><Relationship Id="rId224" Type="http://schemas.openxmlformats.org/officeDocument/2006/relationships/ctrlProp" Target="../ctrlProps/ctrlProp227.xml"/><Relationship Id="rId240" Type="http://schemas.openxmlformats.org/officeDocument/2006/relationships/ctrlProp" Target="../ctrlProps/ctrlProp243.xml"/><Relationship Id="rId245" Type="http://schemas.openxmlformats.org/officeDocument/2006/relationships/ctrlProp" Target="../ctrlProps/ctrlProp248.xml"/><Relationship Id="rId14" Type="http://schemas.openxmlformats.org/officeDocument/2006/relationships/ctrlProp" Target="../ctrlProps/ctrlProp17.xml"/><Relationship Id="rId30" Type="http://schemas.openxmlformats.org/officeDocument/2006/relationships/ctrlProp" Target="../ctrlProps/ctrlProp33.xml"/><Relationship Id="rId35" Type="http://schemas.openxmlformats.org/officeDocument/2006/relationships/ctrlProp" Target="../ctrlProps/ctrlProp38.xml"/><Relationship Id="rId56" Type="http://schemas.openxmlformats.org/officeDocument/2006/relationships/ctrlProp" Target="../ctrlProps/ctrlProp59.xml"/><Relationship Id="rId77" Type="http://schemas.openxmlformats.org/officeDocument/2006/relationships/ctrlProp" Target="../ctrlProps/ctrlProp80.xml"/><Relationship Id="rId100" Type="http://schemas.openxmlformats.org/officeDocument/2006/relationships/ctrlProp" Target="../ctrlProps/ctrlProp10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8" Type="http://schemas.openxmlformats.org/officeDocument/2006/relationships/ctrlProp" Target="../ctrlProps/ctrlProp11.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98" Type="http://schemas.openxmlformats.org/officeDocument/2006/relationships/ctrlProp" Target="../ctrlProps/ctrlProp101.xml"/><Relationship Id="rId121" Type="http://schemas.openxmlformats.org/officeDocument/2006/relationships/ctrlProp" Target="../ctrlProps/ctrlProp124.xml"/><Relationship Id="rId142" Type="http://schemas.openxmlformats.org/officeDocument/2006/relationships/ctrlProp" Target="../ctrlProps/ctrlProp145.xml"/><Relationship Id="rId163" Type="http://schemas.openxmlformats.org/officeDocument/2006/relationships/ctrlProp" Target="../ctrlProps/ctrlProp166.xml"/><Relationship Id="rId184" Type="http://schemas.openxmlformats.org/officeDocument/2006/relationships/ctrlProp" Target="../ctrlProps/ctrlProp187.xml"/><Relationship Id="rId189" Type="http://schemas.openxmlformats.org/officeDocument/2006/relationships/ctrlProp" Target="../ctrlProps/ctrlProp192.xml"/><Relationship Id="rId219" Type="http://schemas.openxmlformats.org/officeDocument/2006/relationships/ctrlProp" Target="../ctrlProps/ctrlProp222.xml"/><Relationship Id="rId3" Type="http://schemas.openxmlformats.org/officeDocument/2006/relationships/ctrlProp" Target="../ctrlProps/ctrlProp6.xml"/><Relationship Id="rId214" Type="http://schemas.openxmlformats.org/officeDocument/2006/relationships/ctrlProp" Target="../ctrlProps/ctrlProp217.xml"/><Relationship Id="rId230" Type="http://schemas.openxmlformats.org/officeDocument/2006/relationships/ctrlProp" Target="../ctrlProps/ctrlProp233.xml"/><Relationship Id="rId235" Type="http://schemas.openxmlformats.org/officeDocument/2006/relationships/ctrlProp" Target="../ctrlProps/ctrlProp238.xml"/><Relationship Id="rId251" Type="http://schemas.openxmlformats.org/officeDocument/2006/relationships/ctrlProp" Target="../ctrlProps/ctrlProp254.xml"/><Relationship Id="rId256" Type="http://schemas.openxmlformats.org/officeDocument/2006/relationships/ctrlProp" Target="../ctrlProps/ctrlProp259.xml"/><Relationship Id="rId25" Type="http://schemas.openxmlformats.org/officeDocument/2006/relationships/ctrlProp" Target="../ctrlProps/ctrlProp28.xml"/><Relationship Id="rId46" Type="http://schemas.openxmlformats.org/officeDocument/2006/relationships/ctrlProp" Target="../ctrlProps/ctrlProp49.xml"/><Relationship Id="rId67" Type="http://schemas.openxmlformats.org/officeDocument/2006/relationships/ctrlProp" Target="../ctrlProps/ctrlProp70.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88" Type="http://schemas.openxmlformats.org/officeDocument/2006/relationships/ctrlProp" Target="../ctrlProps/ctrlProp91.xml"/><Relationship Id="rId111" Type="http://schemas.openxmlformats.org/officeDocument/2006/relationships/ctrlProp" Target="../ctrlProps/ctrlProp114.xml"/><Relationship Id="rId132" Type="http://schemas.openxmlformats.org/officeDocument/2006/relationships/ctrlProp" Target="../ctrlProps/ctrlProp135.xml"/><Relationship Id="rId153" Type="http://schemas.openxmlformats.org/officeDocument/2006/relationships/ctrlProp" Target="../ctrlProps/ctrlProp156.xml"/><Relationship Id="rId174" Type="http://schemas.openxmlformats.org/officeDocument/2006/relationships/ctrlProp" Target="../ctrlProps/ctrlProp177.xml"/><Relationship Id="rId179" Type="http://schemas.openxmlformats.org/officeDocument/2006/relationships/ctrlProp" Target="../ctrlProps/ctrlProp182.xml"/><Relationship Id="rId195" Type="http://schemas.openxmlformats.org/officeDocument/2006/relationships/ctrlProp" Target="../ctrlProps/ctrlProp198.xml"/><Relationship Id="rId209" Type="http://schemas.openxmlformats.org/officeDocument/2006/relationships/ctrlProp" Target="../ctrlProps/ctrlProp212.xml"/><Relationship Id="rId190" Type="http://schemas.openxmlformats.org/officeDocument/2006/relationships/ctrlProp" Target="../ctrlProps/ctrlProp193.xml"/><Relationship Id="rId204" Type="http://schemas.openxmlformats.org/officeDocument/2006/relationships/ctrlProp" Target="../ctrlProps/ctrlProp207.xml"/><Relationship Id="rId220" Type="http://schemas.openxmlformats.org/officeDocument/2006/relationships/ctrlProp" Target="../ctrlProps/ctrlProp223.xml"/><Relationship Id="rId225" Type="http://schemas.openxmlformats.org/officeDocument/2006/relationships/ctrlProp" Target="../ctrlProps/ctrlProp228.xml"/><Relationship Id="rId241" Type="http://schemas.openxmlformats.org/officeDocument/2006/relationships/ctrlProp" Target="../ctrlProps/ctrlProp244.xml"/><Relationship Id="rId246" Type="http://schemas.openxmlformats.org/officeDocument/2006/relationships/ctrlProp" Target="../ctrlProps/ctrlProp249.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106" Type="http://schemas.openxmlformats.org/officeDocument/2006/relationships/ctrlProp" Target="../ctrlProps/ctrlProp109.xml"/><Relationship Id="rId127" Type="http://schemas.openxmlformats.org/officeDocument/2006/relationships/ctrlProp" Target="../ctrlProps/ctrlProp130.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78" Type="http://schemas.openxmlformats.org/officeDocument/2006/relationships/ctrlProp" Target="../ctrlProps/ctrlProp81.xml"/><Relationship Id="rId94" Type="http://schemas.openxmlformats.org/officeDocument/2006/relationships/ctrlProp" Target="../ctrlProps/ctrlProp97.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48" Type="http://schemas.openxmlformats.org/officeDocument/2006/relationships/ctrlProp" Target="../ctrlProps/ctrlProp151.xml"/><Relationship Id="rId164" Type="http://schemas.openxmlformats.org/officeDocument/2006/relationships/ctrlProp" Target="../ctrlProps/ctrlProp167.xml"/><Relationship Id="rId169" Type="http://schemas.openxmlformats.org/officeDocument/2006/relationships/ctrlProp" Target="../ctrlProps/ctrlProp172.xml"/><Relationship Id="rId185" Type="http://schemas.openxmlformats.org/officeDocument/2006/relationships/ctrlProp" Target="../ctrlProps/ctrlProp188.xml"/><Relationship Id="rId4" Type="http://schemas.openxmlformats.org/officeDocument/2006/relationships/ctrlProp" Target="../ctrlProps/ctrlProp7.xml"/><Relationship Id="rId9" Type="http://schemas.openxmlformats.org/officeDocument/2006/relationships/ctrlProp" Target="../ctrlProps/ctrlProp12.xml"/><Relationship Id="rId180" Type="http://schemas.openxmlformats.org/officeDocument/2006/relationships/ctrlProp" Target="../ctrlProps/ctrlProp183.xml"/><Relationship Id="rId210" Type="http://schemas.openxmlformats.org/officeDocument/2006/relationships/ctrlProp" Target="../ctrlProps/ctrlProp21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196" Type="http://schemas.openxmlformats.org/officeDocument/2006/relationships/ctrlProp" Target="../ctrlProps/ctrlProp199.xml"/><Relationship Id="rId200" Type="http://schemas.openxmlformats.org/officeDocument/2006/relationships/ctrlProp" Target="../ctrlProps/ctrlProp203.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375.xml"/><Relationship Id="rId299" Type="http://schemas.openxmlformats.org/officeDocument/2006/relationships/ctrlProp" Target="../ctrlProps/ctrlProp557.xml"/><Relationship Id="rId303" Type="http://schemas.openxmlformats.org/officeDocument/2006/relationships/ctrlProp" Target="../ctrlProps/ctrlProp561.xml"/><Relationship Id="rId21" Type="http://schemas.openxmlformats.org/officeDocument/2006/relationships/ctrlProp" Target="../ctrlProps/ctrlProp279.xml"/><Relationship Id="rId42" Type="http://schemas.openxmlformats.org/officeDocument/2006/relationships/ctrlProp" Target="../ctrlProps/ctrlProp300.xml"/><Relationship Id="rId63" Type="http://schemas.openxmlformats.org/officeDocument/2006/relationships/ctrlProp" Target="../ctrlProps/ctrlProp321.xml"/><Relationship Id="rId84" Type="http://schemas.openxmlformats.org/officeDocument/2006/relationships/ctrlProp" Target="../ctrlProps/ctrlProp342.xml"/><Relationship Id="rId138" Type="http://schemas.openxmlformats.org/officeDocument/2006/relationships/ctrlProp" Target="../ctrlProps/ctrlProp396.xml"/><Relationship Id="rId159" Type="http://schemas.openxmlformats.org/officeDocument/2006/relationships/ctrlProp" Target="../ctrlProps/ctrlProp417.xml"/><Relationship Id="rId324" Type="http://schemas.openxmlformats.org/officeDocument/2006/relationships/ctrlProp" Target="../ctrlProps/ctrlProp582.xml"/><Relationship Id="rId170" Type="http://schemas.openxmlformats.org/officeDocument/2006/relationships/ctrlProp" Target="../ctrlProps/ctrlProp428.xml"/><Relationship Id="rId191" Type="http://schemas.openxmlformats.org/officeDocument/2006/relationships/ctrlProp" Target="../ctrlProps/ctrlProp449.xml"/><Relationship Id="rId205" Type="http://schemas.openxmlformats.org/officeDocument/2006/relationships/ctrlProp" Target="../ctrlProps/ctrlProp463.xml"/><Relationship Id="rId226" Type="http://schemas.openxmlformats.org/officeDocument/2006/relationships/ctrlProp" Target="../ctrlProps/ctrlProp484.xml"/><Relationship Id="rId247" Type="http://schemas.openxmlformats.org/officeDocument/2006/relationships/ctrlProp" Target="../ctrlProps/ctrlProp505.xml"/><Relationship Id="rId107" Type="http://schemas.openxmlformats.org/officeDocument/2006/relationships/ctrlProp" Target="../ctrlProps/ctrlProp365.xml"/><Relationship Id="rId268" Type="http://schemas.openxmlformats.org/officeDocument/2006/relationships/ctrlProp" Target="../ctrlProps/ctrlProp526.xml"/><Relationship Id="rId289" Type="http://schemas.openxmlformats.org/officeDocument/2006/relationships/ctrlProp" Target="../ctrlProps/ctrlProp547.xml"/><Relationship Id="rId11" Type="http://schemas.openxmlformats.org/officeDocument/2006/relationships/ctrlProp" Target="../ctrlProps/ctrlProp269.xml"/><Relationship Id="rId32" Type="http://schemas.openxmlformats.org/officeDocument/2006/relationships/ctrlProp" Target="../ctrlProps/ctrlProp290.xml"/><Relationship Id="rId53" Type="http://schemas.openxmlformats.org/officeDocument/2006/relationships/ctrlProp" Target="../ctrlProps/ctrlProp311.xml"/><Relationship Id="rId74" Type="http://schemas.openxmlformats.org/officeDocument/2006/relationships/ctrlProp" Target="../ctrlProps/ctrlProp332.xml"/><Relationship Id="rId128" Type="http://schemas.openxmlformats.org/officeDocument/2006/relationships/ctrlProp" Target="../ctrlProps/ctrlProp386.xml"/><Relationship Id="rId149" Type="http://schemas.openxmlformats.org/officeDocument/2006/relationships/ctrlProp" Target="../ctrlProps/ctrlProp407.xml"/><Relationship Id="rId314" Type="http://schemas.openxmlformats.org/officeDocument/2006/relationships/ctrlProp" Target="../ctrlProps/ctrlProp572.xml"/><Relationship Id="rId5" Type="http://schemas.openxmlformats.org/officeDocument/2006/relationships/ctrlProp" Target="../ctrlProps/ctrlProp263.xml"/><Relationship Id="rId95" Type="http://schemas.openxmlformats.org/officeDocument/2006/relationships/ctrlProp" Target="../ctrlProps/ctrlProp353.xml"/><Relationship Id="rId160" Type="http://schemas.openxmlformats.org/officeDocument/2006/relationships/ctrlProp" Target="../ctrlProps/ctrlProp418.xml"/><Relationship Id="rId181" Type="http://schemas.openxmlformats.org/officeDocument/2006/relationships/ctrlProp" Target="../ctrlProps/ctrlProp439.xml"/><Relationship Id="rId216" Type="http://schemas.openxmlformats.org/officeDocument/2006/relationships/ctrlProp" Target="../ctrlProps/ctrlProp474.xml"/><Relationship Id="rId237" Type="http://schemas.openxmlformats.org/officeDocument/2006/relationships/ctrlProp" Target="../ctrlProps/ctrlProp495.xml"/><Relationship Id="rId258" Type="http://schemas.openxmlformats.org/officeDocument/2006/relationships/ctrlProp" Target="../ctrlProps/ctrlProp516.xml"/><Relationship Id="rId279" Type="http://schemas.openxmlformats.org/officeDocument/2006/relationships/ctrlProp" Target="../ctrlProps/ctrlProp537.xml"/><Relationship Id="rId22" Type="http://schemas.openxmlformats.org/officeDocument/2006/relationships/ctrlProp" Target="../ctrlProps/ctrlProp280.xml"/><Relationship Id="rId43" Type="http://schemas.openxmlformats.org/officeDocument/2006/relationships/ctrlProp" Target="../ctrlProps/ctrlProp301.xml"/><Relationship Id="rId64" Type="http://schemas.openxmlformats.org/officeDocument/2006/relationships/ctrlProp" Target="../ctrlProps/ctrlProp322.xml"/><Relationship Id="rId118" Type="http://schemas.openxmlformats.org/officeDocument/2006/relationships/ctrlProp" Target="../ctrlProps/ctrlProp376.xml"/><Relationship Id="rId139" Type="http://schemas.openxmlformats.org/officeDocument/2006/relationships/ctrlProp" Target="../ctrlProps/ctrlProp397.xml"/><Relationship Id="rId290" Type="http://schemas.openxmlformats.org/officeDocument/2006/relationships/ctrlProp" Target="../ctrlProps/ctrlProp548.xml"/><Relationship Id="rId304" Type="http://schemas.openxmlformats.org/officeDocument/2006/relationships/ctrlProp" Target="../ctrlProps/ctrlProp562.xml"/><Relationship Id="rId325" Type="http://schemas.openxmlformats.org/officeDocument/2006/relationships/ctrlProp" Target="../ctrlProps/ctrlProp583.xml"/><Relationship Id="rId85" Type="http://schemas.openxmlformats.org/officeDocument/2006/relationships/ctrlProp" Target="../ctrlProps/ctrlProp343.xml"/><Relationship Id="rId150" Type="http://schemas.openxmlformats.org/officeDocument/2006/relationships/ctrlProp" Target="../ctrlProps/ctrlProp408.xml"/><Relationship Id="rId171" Type="http://schemas.openxmlformats.org/officeDocument/2006/relationships/ctrlProp" Target="../ctrlProps/ctrlProp429.xml"/><Relationship Id="rId192" Type="http://schemas.openxmlformats.org/officeDocument/2006/relationships/ctrlProp" Target="../ctrlProps/ctrlProp450.xml"/><Relationship Id="rId206" Type="http://schemas.openxmlformats.org/officeDocument/2006/relationships/ctrlProp" Target="../ctrlProps/ctrlProp464.xml"/><Relationship Id="rId227" Type="http://schemas.openxmlformats.org/officeDocument/2006/relationships/ctrlProp" Target="../ctrlProps/ctrlProp485.xml"/><Relationship Id="rId248" Type="http://schemas.openxmlformats.org/officeDocument/2006/relationships/ctrlProp" Target="../ctrlProps/ctrlProp506.xml"/><Relationship Id="rId269" Type="http://schemas.openxmlformats.org/officeDocument/2006/relationships/ctrlProp" Target="../ctrlProps/ctrlProp527.xml"/><Relationship Id="rId12" Type="http://schemas.openxmlformats.org/officeDocument/2006/relationships/ctrlProp" Target="../ctrlProps/ctrlProp270.xml"/><Relationship Id="rId33" Type="http://schemas.openxmlformats.org/officeDocument/2006/relationships/ctrlProp" Target="../ctrlProps/ctrlProp291.xml"/><Relationship Id="rId108" Type="http://schemas.openxmlformats.org/officeDocument/2006/relationships/ctrlProp" Target="../ctrlProps/ctrlProp366.xml"/><Relationship Id="rId129" Type="http://schemas.openxmlformats.org/officeDocument/2006/relationships/ctrlProp" Target="../ctrlProps/ctrlProp387.xml"/><Relationship Id="rId280" Type="http://schemas.openxmlformats.org/officeDocument/2006/relationships/ctrlProp" Target="../ctrlProps/ctrlProp538.xml"/><Relationship Id="rId315" Type="http://schemas.openxmlformats.org/officeDocument/2006/relationships/ctrlProp" Target="../ctrlProps/ctrlProp573.xml"/><Relationship Id="rId54" Type="http://schemas.openxmlformats.org/officeDocument/2006/relationships/ctrlProp" Target="../ctrlProps/ctrlProp312.xml"/><Relationship Id="rId75" Type="http://schemas.openxmlformats.org/officeDocument/2006/relationships/ctrlProp" Target="../ctrlProps/ctrlProp333.xml"/><Relationship Id="rId96" Type="http://schemas.openxmlformats.org/officeDocument/2006/relationships/ctrlProp" Target="../ctrlProps/ctrlProp354.xml"/><Relationship Id="rId140" Type="http://schemas.openxmlformats.org/officeDocument/2006/relationships/ctrlProp" Target="../ctrlProps/ctrlProp398.xml"/><Relationship Id="rId161" Type="http://schemas.openxmlformats.org/officeDocument/2006/relationships/ctrlProp" Target="../ctrlProps/ctrlProp419.xml"/><Relationship Id="rId182" Type="http://schemas.openxmlformats.org/officeDocument/2006/relationships/ctrlProp" Target="../ctrlProps/ctrlProp440.xml"/><Relationship Id="rId217" Type="http://schemas.openxmlformats.org/officeDocument/2006/relationships/ctrlProp" Target="../ctrlProps/ctrlProp475.xml"/><Relationship Id="rId6" Type="http://schemas.openxmlformats.org/officeDocument/2006/relationships/ctrlProp" Target="../ctrlProps/ctrlProp264.xml"/><Relationship Id="rId238" Type="http://schemas.openxmlformats.org/officeDocument/2006/relationships/ctrlProp" Target="../ctrlProps/ctrlProp496.xml"/><Relationship Id="rId259" Type="http://schemas.openxmlformats.org/officeDocument/2006/relationships/ctrlProp" Target="../ctrlProps/ctrlProp517.xml"/><Relationship Id="rId23" Type="http://schemas.openxmlformats.org/officeDocument/2006/relationships/ctrlProp" Target="../ctrlProps/ctrlProp281.xml"/><Relationship Id="rId119" Type="http://schemas.openxmlformats.org/officeDocument/2006/relationships/ctrlProp" Target="../ctrlProps/ctrlProp377.xml"/><Relationship Id="rId270" Type="http://schemas.openxmlformats.org/officeDocument/2006/relationships/ctrlProp" Target="../ctrlProps/ctrlProp528.xml"/><Relationship Id="rId291" Type="http://schemas.openxmlformats.org/officeDocument/2006/relationships/ctrlProp" Target="../ctrlProps/ctrlProp549.xml"/><Relationship Id="rId305" Type="http://schemas.openxmlformats.org/officeDocument/2006/relationships/ctrlProp" Target="../ctrlProps/ctrlProp563.xml"/><Relationship Id="rId326" Type="http://schemas.openxmlformats.org/officeDocument/2006/relationships/ctrlProp" Target="../ctrlProps/ctrlProp584.xml"/><Relationship Id="rId44" Type="http://schemas.openxmlformats.org/officeDocument/2006/relationships/ctrlProp" Target="../ctrlProps/ctrlProp302.xml"/><Relationship Id="rId65" Type="http://schemas.openxmlformats.org/officeDocument/2006/relationships/ctrlProp" Target="../ctrlProps/ctrlProp323.xml"/><Relationship Id="rId86" Type="http://schemas.openxmlformats.org/officeDocument/2006/relationships/ctrlProp" Target="../ctrlProps/ctrlProp344.xml"/><Relationship Id="rId130" Type="http://schemas.openxmlformats.org/officeDocument/2006/relationships/ctrlProp" Target="../ctrlProps/ctrlProp388.xml"/><Relationship Id="rId151" Type="http://schemas.openxmlformats.org/officeDocument/2006/relationships/ctrlProp" Target="../ctrlProps/ctrlProp409.xml"/><Relationship Id="rId172" Type="http://schemas.openxmlformats.org/officeDocument/2006/relationships/ctrlProp" Target="../ctrlProps/ctrlProp430.xml"/><Relationship Id="rId193" Type="http://schemas.openxmlformats.org/officeDocument/2006/relationships/ctrlProp" Target="../ctrlProps/ctrlProp451.xml"/><Relationship Id="rId207" Type="http://schemas.openxmlformats.org/officeDocument/2006/relationships/ctrlProp" Target="../ctrlProps/ctrlProp465.xml"/><Relationship Id="rId228" Type="http://schemas.openxmlformats.org/officeDocument/2006/relationships/ctrlProp" Target="../ctrlProps/ctrlProp486.xml"/><Relationship Id="rId249" Type="http://schemas.openxmlformats.org/officeDocument/2006/relationships/ctrlProp" Target="../ctrlProps/ctrlProp507.xml"/><Relationship Id="rId13" Type="http://schemas.openxmlformats.org/officeDocument/2006/relationships/ctrlProp" Target="../ctrlProps/ctrlProp271.xml"/><Relationship Id="rId109" Type="http://schemas.openxmlformats.org/officeDocument/2006/relationships/ctrlProp" Target="../ctrlProps/ctrlProp367.xml"/><Relationship Id="rId260" Type="http://schemas.openxmlformats.org/officeDocument/2006/relationships/ctrlProp" Target="../ctrlProps/ctrlProp518.xml"/><Relationship Id="rId281" Type="http://schemas.openxmlformats.org/officeDocument/2006/relationships/ctrlProp" Target="../ctrlProps/ctrlProp539.xml"/><Relationship Id="rId316" Type="http://schemas.openxmlformats.org/officeDocument/2006/relationships/ctrlProp" Target="../ctrlProps/ctrlProp574.xml"/><Relationship Id="rId34" Type="http://schemas.openxmlformats.org/officeDocument/2006/relationships/ctrlProp" Target="../ctrlProps/ctrlProp292.xml"/><Relationship Id="rId55" Type="http://schemas.openxmlformats.org/officeDocument/2006/relationships/ctrlProp" Target="../ctrlProps/ctrlProp313.xml"/><Relationship Id="rId76" Type="http://schemas.openxmlformats.org/officeDocument/2006/relationships/ctrlProp" Target="../ctrlProps/ctrlProp334.xml"/><Relationship Id="rId97" Type="http://schemas.openxmlformats.org/officeDocument/2006/relationships/ctrlProp" Target="../ctrlProps/ctrlProp355.xml"/><Relationship Id="rId120" Type="http://schemas.openxmlformats.org/officeDocument/2006/relationships/ctrlProp" Target="../ctrlProps/ctrlProp378.xml"/><Relationship Id="rId141" Type="http://schemas.openxmlformats.org/officeDocument/2006/relationships/ctrlProp" Target="../ctrlProps/ctrlProp399.xml"/><Relationship Id="rId7" Type="http://schemas.openxmlformats.org/officeDocument/2006/relationships/ctrlProp" Target="../ctrlProps/ctrlProp265.xml"/><Relationship Id="rId162" Type="http://schemas.openxmlformats.org/officeDocument/2006/relationships/ctrlProp" Target="../ctrlProps/ctrlProp420.xml"/><Relationship Id="rId183" Type="http://schemas.openxmlformats.org/officeDocument/2006/relationships/ctrlProp" Target="../ctrlProps/ctrlProp441.xml"/><Relationship Id="rId218" Type="http://schemas.openxmlformats.org/officeDocument/2006/relationships/ctrlProp" Target="../ctrlProps/ctrlProp476.xml"/><Relationship Id="rId239" Type="http://schemas.openxmlformats.org/officeDocument/2006/relationships/ctrlProp" Target="../ctrlProps/ctrlProp497.xml"/><Relationship Id="rId250" Type="http://schemas.openxmlformats.org/officeDocument/2006/relationships/ctrlProp" Target="../ctrlProps/ctrlProp508.xml"/><Relationship Id="rId271" Type="http://schemas.openxmlformats.org/officeDocument/2006/relationships/ctrlProp" Target="../ctrlProps/ctrlProp529.xml"/><Relationship Id="rId292" Type="http://schemas.openxmlformats.org/officeDocument/2006/relationships/ctrlProp" Target="../ctrlProps/ctrlProp550.xml"/><Relationship Id="rId306" Type="http://schemas.openxmlformats.org/officeDocument/2006/relationships/ctrlProp" Target="../ctrlProps/ctrlProp564.xml"/><Relationship Id="rId24" Type="http://schemas.openxmlformats.org/officeDocument/2006/relationships/ctrlProp" Target="../ctrlProps/ctrlProp282.xml"/><Relationship Id="rId45" Type="http://schemas.openxmlformats.org/officeDocument/2006/relationships/ctrlProp" Target="../ctrlProps/ctrlProp303.xml"/><Relationship Id="rId66" Type="http://schemas.openxmlformats.org/officeDocument/2006/relationships/ctrlProp" Target="../ctrlProps/ctrlProp324.xml"/><Relationship Id="rId87" Type="http://schemas.openxmlformats.org/officeDocument/2006/relationships/ctrlProp" Target="../ctrlProps/ctrlProp345.xml"/><Relationship Id="rId110" Type="http://schemas.openxmlformats.org/officeDocument/2006/relationships/ctrlProp" Target="../ctrlProps/ctrlProp368.xml"/><Relationship Id="rId131" Type="http://schemas.openxmlformats.org/officeDocument/2006/relationships/ctrlProp" Target="../ctrlProps/ctrlProp389.xml"/><Relationship Id="rId152" Type="http://schemas.openxmlformats.org/officeDocument/2006/relationships/ctrlProp" Target="../ctrlProps/ctrlProp410.xml"/><Relationship Id="rId173" Type="http://schemas.openxmlformats.org/officeDocument/2006/relationships/ctrlProp" Target="../ctrlProps/ctrlProp431.xml"/><Relationship Id="rId194" Type="http://schemas.openxmlformats.org/officeDocument/2006/relationships/ctrlProp" Target="../ctrlProps/ctrlProp452.xml"/><Relationship Id="rId208" Type="http://schemas.openxmlformats.org/officeDocument/2006/relationships/ctrlProp" Target="../ctrlProps/ctrlProp466.xml"/><Relationship Id="rId229" Type="http://schemas.openxmlformats.org/officeDocument/2006/relationships/ctrlProp" Target="../ctrlProps/ctrlProp487.xml"/><Relationship Id="rId240" Type="http://schemas.openxmlformats.org/officeDocument/2006/relationships/ctrlProp" Target="../ctrlProps/ctrlProp498.xml"/><Relationship Id="rId261" Type="http://schemas.openxmlformats.org/officeDocument/2006/relationships/ctrlProp" Target="../ctrlProps/ctrlProp519.xml"/><Relationship Id="rId14" Type="http://schemas.openxmlformats.org/officeDocument/2006/relationships/ctrlProp" Target="../ctrlProps/ctrlProp272.xml"/><Relationship Id="rId30" Type="http://schemas.openxmlformats.org/officeDocument/2006/relationships/ctrlProp" Target="../ctrlProps/ctrlProp288.xml"/><Relationship Id="rId35" Type="http://schemas.openxmlformats.org/officeDocument/2006/relationships/ctrlProp" Target="../ctrlProps/ctrlProp293.xml"/><Relationship Id="rId56" Type="http://schemas.openxmlformats.org/officeDocument/2006/relationships/ctrlProp" Target="../ctrlProps/ctrlProp314.xml"/><Relationship Id="rId77" Type="http://schemas.openxmlformats.org/officeDocument/2006/relationships/ctrlProp" Target="../ctrlProps/ctrlProp335.xml"/><Relationship Id="rId100" Type="http://schemas.openxmlformats.org/officeDocument/2006/relationships/ctrlProp" Target="../ctrlProps/ctrlProp358.xml"/><Relationship Id="rId105" Type="http://schemas.openxmlformats.org/officeDocument/2006/relationships/ctrlProp" Target="../ctrlProps/ctrlProp363.xml"/><Relationship Id="rId126" Type="http://schemas.openxmlformats.org/officeDocument/2006/relationships/ctrlProp" Target="../ctrlProps/ctrlProp384.xml"/><Relationship Id="rId147" Type="http://schemas.openxmlformats.org/officeDocument/2006/relationships/ctrlProp" Target="../ctrlProps/ctrlProp405.xml"/><Relationship Id="rId168" Type="http://schemas.openxmlformats.org/officeDocument/2006/relationships/ctrlProp" Target="../ctrlProps/ctrlProp426.xml"/><Relationship Id="rId282" Type="http://schemas.openxmlformats.org/officeDocument/2006/relationships/ctrlProp" Target="../ctrlProps/ctrlProp540.xml"/><Relationship Id="rId312" Type="http://schemas.openxmlformats.org/officeDocument/2006/relationships/ctrlProp" Target="../ctrlProps/ctrlProp570.xml"/><Relationship Id="rId317" Type="http://schemas.openxmlformats.org/officeDocument/2006/relationships/ctrlProp" Target="../ctrlProps/ctrlProp575.xml"/><Relationship Id="rId8" Type="http://schemas.openxmlformats.org/officeDocument/2006/relationships/ctrlProp" Target="../ctrlProps/ctrlProp266.xml"/><Relationship Id="rId51" Type="http://schemas.openxmlformats.org/officeDocument/2006/relationships/ctrlProp" Target="../ctrlProps/ctrlProp309.xml"/><Relationship Id="rId72" Type="http://schemas.openxmlformats.org/officeDocument/2006/relationships/ctrlProp" Target="../ctrlProps/ctrlProp330.xml"/><Relationship Id="rId93" Type="http://schemas.openxmlformats.org/officeDocument/2006/relationships/ctrlProp" Target="../ctrlProps/ctrlProp351.xml"/><Relationship Id="rId98" Type="http://schemas.openxmlformats.org/officeDocument/2006/relationships/ctrlProp" Target="../ctrlProps/ctrlProp356.xml"/><Relationship Id="rId121" Type="http://schemas.openxmlformats.org/officeDocument/2006/relationships/ctrlProp" Target="../ctrlProps/ctrlProp379.xml"/><Relationship Id="rId142" Type="http://schemas.openxmlformats.org/officeDocument/2006/relationships/ctrlProp" Target="../ctrlProps/ctrlProp400.xml"/><Relationship Id="rId163" Type="http://schemas.openxmlformats.org/officeDocument/2006/relationships/ctrlProp" Target="../ctrlProps/ctrlProp421.xml"/><Relationship Id="rId184" Type="http://schemas.openxmlformats.org/officeDocument/2006/relationships/ctrlProp" Target="../ctrlProps/ctrlProp442.xml"/><Relationship Id="rId189" Type="http://schemas.openxmlformats.org/officeDocument/2006/relationships/ctrlProp" Target="../ctrlProps/ctrlProp447.xml"/><Relationship Id="rId219" Type="http://schemas.openxmlformats.org/officeDocument/2006/relationships/ctrlProp" Target="../ctrlProps/ctrlProp477.xml"/><Relationship Id="rId3" Type="http://schemas.openxmlformats.org/officeDocument/2006/relationships/ctrlProp" Target="../ctrlProps/ctrlProp261.xml"/><Relationship Id="rId214" Type="http://schemas.openxmlformats.org/officeDocument/2006/relationships/ctrlProp" Target="../ctrlProps/ctrlProp472.xml"/><Relationship Id="rId230" Type="http://schemas.openxmlformats.org/officeDocument/2006/relationships/ctrlProp" Target="../ctrlProps/ctrlProp488.xml"/><Relationship Id="rId235" Type="http://schemas.openxmlformats.org/officeDocument/2006/relationships/ctrlProp" Target="../ctrlProps/ctrlProp493.xml"/><Relationship Id="rId251" Type="http://schemas.openxmlformats.org/officeDocument/2006/relationships/ctrlProp" Target="../ctrlProps/ctrlProp509.xml"/><Relationship Id="rId256" Type="http://schemas.openxmlformats.org/officeDocument/2006/relationships/ctrlProp" Target="../ctrlProps/ctrlProp514.xml"/><Relationship Id="rId277" Type="http://schemas.openxmlformats.org/officeDocument/2006/relationships/ctrlProp" Target="../ctrlProps/ctrlProp535.xml"/><Relationship Id="rId298" Type="http://schemas.openxmlformats.org/officeDocument/2006/relationships/ctrlProp" Target="../ctrlProps/ctrlProp556.xml"/><Relationship Id="rId25" Type="http://schemas.openxmlformats.org/officeDocument/2006/relationships/ctrlProp" Target="../ctrlProps/ctrlProp283.xml"/><Relationship Id="rId46" Type="http://schemas.openxmlformats.org/officeDocument/2006/relationships/ctrlProp" Target="../ctrlProps/ctrlProp304.xml"/><Relationship Id="rId67" Type="http://schemas.openxmlformats.org/officeDocument/2006/relationships/ctrlProp" Target="../ctrlProps/ctrlProp325.xml"/><Relationship Id="rId116" Type="http://schemas.openxmlformats.org/officeDocument/2006/relationships/ctrlProp" Target="../ctrlProps/ctrlProp374.xml"/><Relationship Id="rId137" Type="http://schemas.openxmlformats.org/officeDocument/2006/relationships/ctrlProp" Target="../ctrlProps/ctrlProp395.xml"/><Relationship Id="rId158" Type="http://schemas.openxmlformats.org/officeDocument/2006/relationships/ctrlProp" Target="../ctrlProps/ctrlProp416.xml"/><Relationship Id="rId272" Type="http://schemas.openxmlformats.org/officeDocument/2006/relationships/ctrlProp" Target="../ctrlProps/ctrlProp530.xml"/><Relationship Id="rId293" Type="http://schemas.openxmlformats.org/officeDocument/2006/relationships/ctrlProp" Target="../ctrlProps/ctrlProp551.xml"/><Relationship Id="rId302" Type="http://schemas.openxmlformats.org/officeDocument/2006/relationships/ctrlProp" Target="../ctrlProps/ctrlProp560.xml"/><Relationship Id="rId307" Type="http://schemas.openxmlformats.org/officeDocument/2006/relationships/ctrlProp" Target="../ctrlProps/ctrlProp565.xml"/><Relationship Id="rId323" Type="http://schemas.openxmlformats.org/officeDocument/2006/relationships/ctrlProp" Target="../ctrlProps/ctrlProp581.xml"/><Relationship Id="rId20" Type="http://schemas.openxmlformats.org/officeDocument/2006/relationships/ctrlProp" Target="../ctrlProps/ctrlProp278.xml"/><Relationship Id="rId41" Type="http://schemas.openxmlformats.org/officeDocument/2006/relationships/ctrlProp" Target="../ctrlProps/ctrlProp299.xml"/><Relationship Id="rId62" Type="http://schemas.openxmlformats.org/officeDocument/2006/relationships/ctrlProp" Target="../ctrlProps/ctrlProp320.xml"/><Relationship Id="rId83" Type="http://schemas.openxmlformats.org/officeDocument/2006/relationships/ctrlProp" Target="../ctrlProps/ctrlProp341.xml"/><Relationship Id="rId88" Type="http://schemas.openxmlformats.org/officeDocument/2006/relationships/ctrlProp" Target="../ctrlProps/ctrlProp346.xml"/><Relationship Id="rId111" Type="http://schemas.openxmlformats.org/officeDocument/2006/relationships/ctrlProp" Target="../ctrlProps/ctrlProp369.xml"/><Relationship Id="rId132" Type="http://schemas.openxmlformats.org/officeDocument/2006/relationships/ctrlProp" Target="../ctrlProps/ctrlProp390.xml"/><Relationship Id="rId153" Type="http://schemas.openxmlformats.org/officeDocument/2006/relationships/ctrlProp" Target="../ctrlProps/ctrlProp411.xml"/><Relationship Id="rId174" Type="http://schemas.openxmlformats.org/officeDocument/2006/relationships/ctrlProp" Target="../ctrlProps/ctrlProp432.xml"/><Relationship Id="rId179" Type="http://schemas.openxmlformats.org/officeDocument/2006/relationships/ctrlProp" Target="../ctrlProps/ctrlProp437.xml"/><Relationship Id="rId195" Type="http://schemas.openxmlformats.org/officeDocument/2006/relationships/ctrlProp" Target="../ctrlProps/ctrlProp453.xml"/><Relationship Id="rId209" Type="http://schemas.openxmlformats.org/officeDocument/2006/relationships/ctrlProp" Target="../ctrlProps/ctrlProp467.xml"/><Relationship Id="rId190" Type="http://schemas.openxmlformats.org/officeDocument/2006/relationships/ctrlProp" Target="../ctrlProps/ctrlProp448.xml"/><Relationship Id="rId204" Type="http://schemas.openxmlformats.org/officeDocument/2006/relationships/ctrlProp" Target="../ctrlProps/ctrlProp462.xml"/><Relationship Id="rId220" Type="http://schemas.openxmlformats.org/officeDocument/2006/relationships/ctrlProp" Target="../ctrlProps/ctrlProp478.xml"/><Relationship Id="rId225" Type="http://schemas.openxmlformats.org/officeDocument/2006/relationships/ctrlProp" Target="../ctrlProps/ctrlProp483.xml"/><Relationship Id="rId241" Type="http://schemas.openxmlformats.org/officeDocument/2006/relationships/ctrlProp" Target="../ctrlProps/ctrlProp499.xml"/><Relationship Id="rId246" Type="http://schemas.openxmlformats.org/officeDocument/2006/relationships/ctrlProp" Target="../ctrlProps/ctrlProp504.xml"/><Relationship Id="rId267" Type="http://schemas.openxmlformats.org/officeDocument/2006/relationships/ctrlProp" Target="../ctrlProps/ctrlProp525.xml"/><Relationship Id="rId288" Type="http://schemas.openxmlformats.org/officeDocument/2006/relationships/ctrlProp" Target="../ctrlProps/ctrlProp546.xml"/><Relationship Id="rId15" Type="http://schemas.openxmlformats.org/officeDocument/2006/relationships/ctrlProp" Target="../ctrlProps/ctrlProp273.xml"/><Relationship Id="rId36" Type="http://schemas.openxmlformats.org/officeDocument/2006/relationships/ctrlProp" Target="../ctrlProps/ctrlProp294.xml"/><Relationship Id="rId57" Type="http://schemas.openxmlformats.org/officeDocument/2006/relationships/ctrlProp" Target="../ctrlProps/ctrlProp315.xml"/><Relationship Id="rId106" Type="http://schemas.openxmlformats.org/officeDocument/2006/relationships/ctrlProp" Target="../ctrlProps/ctrlProp364.xml"/><Relationship Id="rId127" Type="http://schemas.openxmlformats.org/officeDocument/2006/relationships/ctrlProp" Target="../ctrlProps/ctrlProp385.xml"/><Relationship Id="rId262" Type="http://schemas.openxmlformats.org/officeDocument/2006/relationships/ctrlProp" Target="../ctrlProps/ctrlProp520.xml"/><Relationship Id="rId283" Type="http://schemas.openxmlformats.org/officeDocument/2006/relationships/ctrlProp" Target="../ctrlProps/ctrlProp541.xml"/><Relationship Id="rId313" Type="http://schemas.openxmlformats.org/officeDocument/2006/relationships/ctrlProp" Target="../ctrlProps/ctrlProp571.xml"/><Relationship Id="rId318" Type="http://schemas.openxmlformats.org/officeDocument/2006/relationships/ctrlProp" Target="../ctrlProps/ctrlProp576.xml"/><Relationship Id="rId10" Type="http://schemas.openxmlformats.org/officeDocument/2006/relationships/ctrlProp" Target="../ctrlProps/ctrlProp268.xml"/><Relationship Id="rId31" Type="http://schemas.openxmlformats.org/officeDocument/2006/relationships/ctrlProp" Target="../ctrlProps/ctrlProp289.xml"/><Relationship Id="rId52" Type="http://schemas.openxmlformats.org/officeDocument/2006/relationships/ctrlProp" Target="../ctrlProps/ctrlProp310.xml"/><Relationship Id="rId73" Type="http://schemas.openxmlformats.org/officeDocument/2006/relationships/ctrlProp" Target="../ctrlProps/ctrlProp331.xml"/><Relationship Id="rId78" Type="http://schemas.openxmlformats.org/officeDocument/2006/relationships/ctrlProp" Target="../ctrlProps/ctrlProp336.xml"/><Relationship Id="rId94" Type="http://schemas.openxmlformats.org/officeDocument/2006/relationships/ctrlProp" Target="../ctrlProps/ctrlProp352.xml"/><Relationship Id="rId99" Type="http://schemas.openxmlformats.org/officeDocument/2006/relationships/ctrlProp" Target="../ctrlProps/ctrlProp357.xml"/><Relationship Id="rId101" Type="http://schemas.openxmlformats.org/officeDocument/2006/relationships/ctrlProp" Target="../ctrlProps/ctrlProp359.xml"/><Relationship Id="rId122" Type="http://schemas.openxmlformats.org/officeDocument/2006/relationships/ctrlProp" Target="../ctrlProps/ctrlProp380.xml"/><Relationship Id="rId143" Type="http://schemas.openxmlformats.org/officeDocument/2006/relationships/ctrlProp" Target="../ctrlProps/ctrlProp401.xml"/><Relationship Id="rId148" Type="http://schemas.openxmlformats.org/officeDocument/2006/relationships/ctrlProp" Target="../ctrlProps/ctrlProp406.xml"/><Relationship Id="rId164" Type="http://schemas.openxmlformats.org/officeDocument/2006/relationships/ctrlProp" Target="../ctrlProps/ctrlProp422.xml"/><Relationship Id="rId169" Type="http://schemas.openxmlformats.org/officeDocument/2006/relationships/ctrlProp" Target="../ctrlProps/ctrlProp427.xml"/><Relationship Id="rId185" Type="http://schemas.openxmlformats.org/officeDocument/2006/relationships/ctrlProp" Target="../ctrlProps/ctrlProp443.xml"/><Relationship Id="rId4" Type="http://schemas.openxmlformats.org/officeDocument/2006/relationships/ctrlProp" Target="../ctrlProps/ctrlProp262.xml"/><Relationship Id="rId9" Type="http://schemas.openxmlformats.org/officeDocument/2006/relationships/ctrlProp" Target="../ctrlProps/ctrlProp267.xml"/><Relationship Id="rId180" Type="http://schemas.openxmlformats.org/officeDocument/2006/relationships/ctrlProp" Target="../ctrlProps/ctrlProp438.xml"/><Relationship Id="rId210" Type="http://schemas.openxmlformats.org/officeDocument/2006/relationships/ctrlProp" Target="../ctrlProps/ctrlProp468.xml"/><Relationship Id="rId215" Type="http://schemas.openxmlformats.org/officeDocument/2006/relationships/ctrlProp" Target="../ctrlProps/ctrlProp473.xml"/><Relationship Id="rId236" Type="http://schemas.openxmlformats.org/officeDocument/2006/relationships/ctrlProp" Target="../ctrlProps/ctrlProp494.xml"/><Relationship Id="rId257" Type="http://schemas.openxmlformats.org/officeDocument/2006/relationships/ctrlProp" Target="../ctrlProps/ctrlProp515.xml"/><Relationship Id="rId278" Type="http://schemas.openxmlformats.org/officeDocument/2006/relationships/ctrlProp" Target="../ctrlProps/ctrlProp536.xml"/><Relationship Id="rId26" Type="http://schemas.openxmlformats.org/officeDocument/2006/relationships/ctrlProp" Target="../ctrlProps/ctrlProp284.xml"/><Relationship Id="rId231" Type="http://schemas.openxmlformats.org/officeDocument/2006/relationships/ctrlProp" Target="../ctrlProps/ctrlProp489.xml"/><Relationship Id="rId252" Type="http://schemas.openxmlformats.org/officeDocument/2006/relationships/ctrlProp" Target="../ctrlProps/ctrlProp510.xml"/><Relationship Id="rId273" Type="http://schemas.openxmlformats.org/officeDocument/2006/relationships/ctrlProp" Target="../ctrlProps/ctrlProp531.xml"/><Relationship Id="rId294" Type="http://schemas.openxmlformats.org/officeDocument/2006/relationships/ctrlProp" Target="../ctrlProps/ctrlProp552.xml"/><Relationship Id="rId308" Type="http://schemas.openxmlformats.org/officeDocument/2006/relationships/ctrlProp" Target="../ctrlProps/ctrlProp566.xml"/><Relationship Id="rId47" Type="http://schemas.openxmlformats.org/officeDocument/2006/relationships/ctrlProp" Target="../ctrlProps/ctrlProp305.xml"/><Relationship Id="rId68" Type="http://schemas.openxmlformats.org/officeDocument/2006/relationships/ctrlProp" Target="../ctrlProps/ctrlProp326.xml"/><Relationship Id="rId89" Type="http://schemas.openxmlformats.org/officeDocument/2006/relationships/ctrlProp" Target="../ctrlProps/ctrlProp347.xml"/><Relationship Id="rId112" Type="http://schemas.openxmlformats.org/officeDocument/2006/relationships/ctrlProp" Target="../ctrlProps/ctrlProp370.xml"/><Relationship Id="rId133" Type="http://schemas.openxmlformats.org/officeDocument/2006/relationships/ctrlProp" Target="../ctrlProps/ctrlProp391.xml"/><Relationship Id="rId154" Type="http://schemas.openxmlformats.org/officeDocument/2006/relationships/ctrlProp" Target="../ctrlProps/ctrlProp412.xml"/><Relationship Id="rId175" Type="http://schemas.openxmlformats.org/officeDocument/2006/relationships/ctrlProp" Target="../ctrlProps/ctrlProp433.xml"/><Relationship Id="rId196" Type="http://schemas.openxmlformats.org/officeDocument/2006/relationships/ctrlProp" Target="../ctrlProps/ctrlProp454.xml"/><Relationship Id="rId200" Type="http://schemas.openxmlformats.org/officeDocument/2006/relationships/ctrlProp" Target="../ctrlProps/ctrlProp458.xml"/><Relationship Id="rId16" Type="http://schemas.openxmlformats.org/officeDocument/2006/relationships/ctrlProp" Target="../ctrlProps/ctrlProp274.xml"/><Relationship Id="rId221" Type="http://schemas.openxmlformats.org/officeDocument/2006/relationships/ctrlProp" Target="../ctrlProps/ctrlProp479.xml"/><Relationship Id="rId242" Type="http://schemas.openxmlformats.org/officeDocument/2006/relationships/ctrlProp" Target="../ctrlProps/ctrlProp500.xml"/><Relationship Id="rId263" Type="http://schemas.openxmlformats.org/officeDocument/2006/relationships/ctrlProp" Target="../ctrlProps/ctrlProp521.xml"/><Relationship Id="rId284" Type="http://schemas.openxmlformats.org/officeDocument/2006/relationships/ctrlProp" Target="../ctrlProps/ctrlProp542.xml"/><Relationship Id="rId319" Type="http://schemas.openxmlformats.org/officeDocument/2006/relationships/ctrlProp" Target="../ctrlProps/ctrlProp577.xml"/><Relationship Id="rId37" Type="http://schemas.openxmlformats.org/officeDocument/2006/relationships/ctrlProp" Target="../ctrlProps/ctrlProp295.xml"/><Relationship Id="rId58" Type="http://schemas.openxmlformats.org/officeDocument/2006/relationships/ctrlProp" Target="../ctrlProps/ctrlProp316.xml"/><Relationship Id="rId79" Type="http://schemas.openxmlformats.org/officeDocument/2006/relationships/ctrlProp" Target="../ctrlProps/ctrlProp337.xml"/><Relationship Id="rId102" Type="http://schemas.openxmlformats.org/officeDocument/2006/relationships/ctrlProp" Target="../ctrlProps/ctrlProp360.xml"/><Relationship Id="rId123" Type="http://schemas.openxmlformats.org/officeDocument/2006/relationships/ctrlProp" Target="../ctrlProps/ctrlProp381.xml"/><Relationship Id="rId144" Type="http://schemas.openxmlformats.org/officeDocument/2006/relationships/ctrlProp" Target="../ctrlProps/ctrlProp402.xml"/><Relationship Id="rId90" Type="http://schemas.openxmlformats.org/officeDocument/2006/relationships/ctrlProp" Target="../ctrlProps/ctrlProp348.xml"/><Relationship Id="rId165" Type="http://schemas.openxmlformats.org/officeDocument/2006/relationships/ctrlProp" Target="../ctrlProps/ctrlProp423.xml"/><Relationship Id="rId186" Type="http://schemas.openxmlformats.org/officeDocument/2006/relationships/ctrlProp" Target="../ctrlProps/ctrlProp444.xml"/><Relationship Id="rId211" Type="http://schemas.openxmlformats.org/officeDocument/2006/relationships/ctrlProp" Target="../ctrlProps/ctrlProp469.xml"/><Relationship Id="rId232" Type="http://schemas.openxmlformats.org/officeDocument/2006/relationships/ctrlProp" Target="../ctrlProps/ctrlProp490.xml"/><Relationship Id="rId253" Type="http://schemas.openxmlformats.org/officeDocument/2006/relationships/ctrlProp" Target="../ctrlProps/ctrlProp511.xml"/><Relationship Id="rId274" Type="http://schemas.openxmlformats.org/officeDocument/2006/relationships/ctrlProp" Target="../ctrlProps/ctrlProp532.xml"/><Relationship Id="rId295" Type="http://schemas.openxmlformats.org/officeDocument/2006/relationships/ctrlProp" Target="../ctrlProps/ctrlProp553.xml"/><Relationship Id="rId309" Type="http://schemas.openxmlformats.org/officeDocument/2006/relationships/ctrlProp" Target="../ctrlProps/ctrlProp567.xml"/><Relationship Id="rId27" Type="http://schemas.openxmlformats.org/officeDocument/2006/relationships/ctrlProp" Target="../ctrlProps/ctrlProp285.xml"/><Relationship Id="rId48" Type="http://schemas.openxmlformats.org/officeDocument/2006/relationships/ctrlProp" Target="../ctrlProps/ctrlProp306.xml"/><Relationship Id="rId69" Type="http://schemas.openxmlformats.org/officeDocument/2006/relationships/ctrlProp" Target="../ctrlProps/ctrlProp327.xml"/><Relationship Id="rId113" Type="http://schemas.openxmlformats.org/officeDocument/2006/relationships/ctrlProp" Target="../ctrlProps/ctrlProp371.xml"/><Relationship Id="rId134" Type="http://schemas.openxmlformats.org/officeDocument/2006/relationships/ctrlProp" Target="../ctrlProps/ctrlProp392.xml"/><Relationship Id="rId320" Type="http://schemas.openxmlformats.org/officeDocument/2006/relationships/ctrlProp" Target="../ctrlProps/ctrlProp578.xml"/><Relationship Id="rId80" Type="http://schemas.openxmlformats.org/officeDocument/2006/relationships/ctrlProp" Target="../ctrlProps/ctrlProp338.xml"/><Relationship Id="rId155" Type="http://schemas.openxmlformats.org/officeDocument/2006/relationships/ctrlProp" Target="../ctrlProps/ctrlProp413.xml"/><Relationship Id="rId176" Type="http://schemas.openxmlformats.org/officeDocument/2006/relationships/ctrlProp" Target="../ctrlProps/ctrlProp434.xml"/><Relationship Id="rId197" Type="http://schemas.openxmlformats.org/officeDocument/2006/relationships/ctrlProp" Target="../ctrlProps/ctrlProp455.xml"/><Relationship Id="rId201" Type="http://schemas.openxmlformats.org/officeDocument/2006/relationships/ctrlProp" Target="../ctrlProps/ctrlProp459.xml"/><Relationship Id="rId222" Type="http://schemas.openxmlformats.org/officeDocument/2006/relationships/ctrlProp" Target="../ctrlProps/ctrlProp480.xml"/><Relationship Id="rId243" Type="http://schemas.openxmlformats.org/officeDocument/2006/relationships/ctrlProp" Target="../ctrlProps/ctrlProp501.xml"/><Relationship Id="rId264" Type="http://schemas.openxmlformats.org/officeDocument/2006/relationships/ctrlProp" Target="../ctrlProps/ctrlProp522.xml"/><Relationship Id="rId285" Type="http://schemas.openxmlformats.org/officeDocument/2006/relationships/ctrlProp" Target="../ctrlProps/ctrlProp543.xml"/><Relationship Id="rId17" Type="http://schemas.openxmlformats.org/officeDocument/2006/relationships/ctrlProp" Target="../ctrlProps/ctrlProp275.xml"/><Relationship Id="rId38" Type="http://schemas.openxmlformats.org/officeDocument/2006/relationships/ctrlProp" Target="../ctrlProps/ctrlProp296.xml"/><Relationship Id="rId59" Type="http://schemas.openxmlformats.org/officeDocument/2006/relationships/ctrlProp" Target="../ctrlProps/ctrlProp317.xml"/><Relationship Id="rId103" Type="http://schemas.openxmlformats.org/officeDocument/2006/relationships/ctrlProp" Target="../ctrlProps/ctrlProp361.xml"/><Relationship Id="rId124" Type="http://schemas.openxmlformats.org/officeDocument/2006/relationships/ctrlProp" Target="../ctrlProps/ctrlProp382.xml"/><Relationship Id="rId310" Type="http://schemas.openxmlformats.org/officeDocument/2006/relationships/ctrlProp" Target="../ctrlProps/ctrlProp568.xml"/><Relationship Id="rId70" Type="http://schemas.openxmlformats.org/officeDocument/2006/relationships/ctrlProp" Target="../ctrlProps/ctrlProp328.xml"/><Relationship Id="rId91" Type="http://schemas.openxmlformats.org/officeDocument/2006/relationships/ctrlProp" Target="../ctrlProps/ctrlProp349.xml"/><Relationship Id="rId145" Type="http://schemas.openxmlformats.org/officeDocument/2006/relationships/ctrlProp" Target="../ctrlProps/ctrlProp403.xml"/><Relationship Id="rId166" Type="http://schemas.openxmlformats.org/officeDocument/2006/relationships/ctrlProp" Target="../ctrlProps/ctrlProp424.xml"/><Relationship Id="rId187" Type="http://schemas.openxmlformats.org/officeDocument/2006/relationships/ctrlProp" Target="../ctrlProps/ctrlProp445.xml"/><Relationship Id="rId1" Type="http://schemas.openxmlformats.org/officeDocument/2006/relationships/drawing" Target="../drawings/drawing3.xml"/><Relationship Id="rId212" Type="http://schemas.openxmlformats.org/officeDocument/2006/relationships/ctrlProp" Target="../ctrlProps/ctrlProp470.xml"/><Relationship Id="rId233" Type="http://schemas.openxmlformats.org/officeDocument/2006/relationships/ctrlProp" Target="../ctrlProps/ctrlProp491.xml"/><Relationship Id="rId254" Type="http://schemas.openxmlformats.org/officeDocument/2006/relationships/ctrlProp" Target="../ctrlProps/ctrlProp512.xml"/><Relationship Id="rId28" Type="http://schemas.openxmlformats.org/officeDocument/2006/relationships/ctrlProp" Target="../ctrlProps/ctrlProp286.xml"/><Relationship Id="rId49" Type="http://schemas.openxmlformats.org/officeDocument/2006/relationships/ctrlProp" Target="../ctrlProps/ctrlProp307.xml"/><Relationship Id="rId114" Type="http://schemas.openxmlformats.org/officeDocument/2006/relationships/ctrlProp" Target="../ctrlProps/ctrlProp372.xml"/><Relationship Id="rId275" Type="http://schemas.openxmlformats.org/officeDocument/2006/relationships/ctrlProp" Target="../ctrlProps/ctrlProp533.xml"/><Relationship Id="rId296" Type="http://schemas.openxmlformats.org/officeDocument/2006/relationships/ctrlProp" Target="../ctrlProps/ctrlProp554.xml"/><Relationship Id="rId300" Type="http://schemas.openxmlformats.org/officeDocument/2006/relationships/ctrlProp" Target="../ctrlProps/ctrlProp558.xml"/><Relationship Id="rId60" Type="http://schemas.openxmlformats.org/officeDocument/2006/relationships/ctrlProp" Target="../ctrlProps/ctrlProp318.xml"/><Relationship Id="rId81" Type="http://schemas.openxmlformats.org/officeDocument/2006/relationships/ctrlProp" Target="../ctrlProps/ctrlProp339.xml"/><Relationship Id="rId135" Type="http://schemas.openxmlformats.org/officeDocument/2006/relationships/ctrlProp" Target="../ctrlProps/ctrlProp393.xml"/><Relationship Id="rId156" Type="http://schemas.openxmlformats.org/officeDocument/2006/relationships/ctrlProp" Target="../ctrlProps/ctrlProp414.xml"/><Relationship Id="rId177" Type="http://schemas.openxmlformats.org/officeDocument/2006/relationships/ctrlProp" Target="../ctrlProps/ctrlProp435.xml"/><Relationship Id="rId198" Type="http://schemas.openxmlformats.org/officeDocument/2006/relationships/ctrlProp" Target="../ctrlProps/ctrlProp456.xml"/><Relationship Id="rId321" Type="http://schemas.openxmlformats.org/officeDocument/2006/relationships/ctrlProp" Target="../ctrlProps/ctrlProp579.xml"/><Relationship Id="rId202" Type="http://schemas.openxmlformats.org/officeDocument/2006/relationships/ctrlProp" Target="../ctrlProps/ctrlProp460.xml"/><Relationship Id="rId223" Type="http://schemas.openxmlformats.org/officeDocument/2006/relationships/ctrlProp" Target="../ctrlProps/ctrlProp481.xml"/><Relationship Id="rId244" Type="http://schemas.openxmlformats.org/officeDocument/2006/relationships/ctrlProp" Target="../ctrlProps/ctrlProp502.xml"/><Relationship Id="rId18" Type="http://schemas.openxmlformats.org/officeDocument/2006/relationships/ctrlProp" Target="../ctrlProps/ctrlProp276.xml"/><Relationship Id="rId39" Type="http://schemas.openxmlformats.org/officeDocument/2006/relationships/ctrlProp" Target="../ctrlProps/ctrlProp297.xml"/><Relationship Id="rId265" Type="http://schemas.openxmlformats.org/officeDocument/2006/relationships/ctrlProp" Target="../ctrlProps/ctrlProp523.xml"/><Relationship Id="rId286" Type="http://schemas.openxmlformats.org/officeDocument/2006/relationships/ctrlProp" Target="../ctrlProps/ctrlProp544.xml"/><Relationship Id="rId50" Type="http://schemas.openxmlformats.org/officeDocument/2006/relationships/ctrlProp" Target="../ctrlProps/ctrlProp308.xml"/><Relationship Id="rId104" Type="http://schemas.openxmlformats.org/officeDocument/2006/relationships/ctrlProp" Target="../ctrlProps/ctrlProp362.xml"/><Relationship Id="rId125" Type="http://schemas.openxmlformats.org/officeDocument/2006/relationships/ctrlProp" Target="../ctrlProps/ctrlProp383.xml"/><Relationship Id="rId146" Type="http://schemas.openxmlformats.org/officeDocument/2006/relationships/ctrlProp" Target="../ctrlProps/ctrlProp404.xml"/><Relationship Id="rId167" Type="http://schemas.openxmlformats.org/officeDocument/2006/relationships/ctrlProp" Target="../ctrlProps/ctrlProp425.xml"/><Relationship Id="rId188" Type="http://schemas.openxmlformats.org/officeDocument/2006/relationships/ctrlProp" Target="../ctrlProps/ctrlProp446.xml"/><Relationship Id="rId311" Type="http://schemas.openxmlformats.org/officeDocument/2006/relationships/ctrlProp" Target="../ctrlProps/ctrlProp569.xml"/><Relationship Id="rId71" Type="http://schemas.openxmlformats.org/officeDocument/2006/relationships/ctrlProp" Target="../ctrlProps/ctrlProp329.xml"/><Relationship Id="rId92" Type="http://schemas.openxmlformats.org/officeDocument/2006/relationships/ctrlProp" Target="../ctrlProps/ctrlProp350.xml"/><Relationship Id="rId213" Type="http://schemas.openxmlformats.org/officeDocument/2006/relationships/ctrlProp" Target="../ctrlProps/ctrlProp471.xml"/><Relationship Id="rId234" Type="http://schemas.openxmlformats.org/officeDocument/2006/relationships/ctrlProp" Target="../ctrlProps/ctrlProp492.xml"/><Relationship Id="rId2" Type="http://schemas.openxmlformats.org/officeDocument/2006/relationships/vmlDrawing" Target="../drawings/vmlDrawing3.vml"/><Relationship Id="rId29" Type="http://schemas.openxmlformats.org/officeDocument/2006/relationships/ctrlProp" Target="../ctrlProps/ctrlProp287.xml"/><Relationship Id="rId255" Type="http://schemas.openxmlformats.org/officeDocument/2006/relationships/ctrlProp" Target="../ctrlProps/ctrlProp513.xml"/><Relationship Id="rId276" Type="http://schemas.openxmlformats.org/officeDocument/2006/relationships/ctrlProp" Target="../ctrlProps/ctrlProp534.xml"/><Relationship Id="rId297" Type="http://schemas.openxmlformats.org/officeDocument/2006/relationships/ctrlProp" Target="../ctrlProps/ctrlProp555.xml"/><Relationship Id="rId40" Type="http://schemas.openxmlformats.org/officeDocument/2006/relationships/ctrlProp" Target="../ctrlProps/ctrlProp298.xml"/><Relationship Id="rId115" Type="http://schemas.openxmlformats.org/officeDocument/2006/relationships/ctrlProp" Target="../ctrlProps/ctrlProp373.xml"/><Relationship Id="rId136" Type="http://schemas.openxmlformats.org/officeDocument/2006/relationships/ctrlProp" Target="../ctrlProps/ctrlProp394.xml"/><Relationship Id="rId157" Type="http://schemas.openxmlformats.org/officeDocument/2006/relationships/ctrlProp" Target="../ctrlProps/ctrlProp415.xml"/><Relationship Id="rId178" Type="http://schemas.openxmlformats.org/officeDocument/2006/relationships/ctrlProp" Target="../ctrlProps/ctrlProp436.xml"/><Relationship Id="rId301" Type="http://schemas.openxmlformats.org/officeDocument/2006/relationships/ctrlProp" Target="../ctrlProps/ctrlProp559.xml"/><Relationship Id="rId322" Type="http://schemas.openxmlformats.org/officeDocument/2006/relationships/ctrlProp" Target="../ctrlProps/ctrlProp580.xml"/><Relationship Id="rId61" Type="http://schemas.openxmlformats.org/officeDocument/2006/relationships/ctrlProp" Target="../ctrlProps/ctrlProp319.xml"/><Relationship Id="rId82" Type="http://schemas.openxmlformats.org/officeDocument/2006/relationships/ctrlProp" Target="../ctrlProps/ctrlProp340.xml"/><Relationship Id="rId199" Type="http://schemas.openxmlformats.org/officeDocument/2006/relationships/ctrlProp" Target="../ctrlProps/ctrlProp457.xml"/><Relationship Id="rId203" Type="http://schemas.openxmlformats.org/officeDocument/2006/relationships/ctrlProp" Target="../ctrlProps/ctrlProp461.xml"/><Relationship Id="rId19" Type="http://schemas.openxmlformats.org/officeDocument/2006/relationships/ctrlProp" Target="../ctrlProps/ctrlProp277.xml"/><Relationship Id="rId224" Type="http://schemas.openxmlformats.org/officeDocument/2006/relationships/ctrlProp" Target="../ctrlProps/ctrlProp482.xml"/><Relationship Id="rId245" Type="http://schemas.openxmlformats.org/officeDocument/2006/relationships/ctrlProp" Target="../ctrlProps/ctrlProp503.xml"/><Relationship Id="rId266" Type="http://schemas.openxmlformats.org/officeDocument/2006/relationships/ctrlProp" Target="../ctrlProps/ctrlProp524.xml"/><Relationship Id="rId287" Type="http://schemas.openxmlformats.org/officeDocument/2006/relationships/ctrlProp" Target="../ctrlProps/ctrlProp545.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699.xml"/><Relationship Id="rId21" Type="http://schemas.openxmlformats.org/officeDocument/2006/relationships/ctrlProp" Target="../ctrlProps/ctrlProp603.xml"/><Relationship Id="rId42" Type="http://schemas.openxmlformats.org/officeDocument/2006/relationships/ctrlProp" Target="../ctrlProps/ctrlProp624.xml"/><Relationship Id="rId63" Type="http://schemas.openxmlformats.org/officeDocument/2006/relationships/ctrlProp" Target="../ctrlProps/ctrlProp645.xml"/><Relationship Id="rId84" Type="http://schemas.openxmlformats.org/officeDocument/2006/relationships/ctrlProp" Target="../ctrlProps/ctrlProp666.xml"/><Relationship Id="rId138" Type="http://schemas.openxmlformats.org/officeDocument/2006/relationships/ctrlProp" Target="../ctrlProps/ctrlProp720.xml"/><Relationship Id="rId159" Type="http://schemas.openxmlformats.org/officeDocument/2006/relationships/ctrlProp" Target="../ctrlProps/ctrlProp741.xml"/><Relationship Id="rId170" Type="http://schemas.openxmlformats.org/officeDocument/2006/relationships/ctrlProp" Target="../ctrlProps/ctrlProp752.xml"/><Relationship Id="rId191" Type="http://schemas.openxmlformats.org/officeDocument/2006/relationships/ctrlProp" Target="../ctrlProps/ctrlProp773.xml"/><Relationship Id="rId205" Type="http://schemas.openxmlformats.org/officeDocument/2006/relationships/ctrlProp" Target="../ctrlProps/ctrlProp787.xml"/><Relationship Id="rId226" Type="http://schemas.openxmlformats.org/officeDocument/2006/relationships/ctrlProp" Target="../ctrlProps/ctrlProp808.xml"/><Relationship Id="rId247" Type="http://schemas.openxmlformats.org/officeDocument/2006/relationships/ctrlProp" Target="../ctrlProps/ctrlProp829.xml"/><Relationship Id="rId107" Type="http://schemas.openxmlformats.org/officeDocument/2006/relationships/ctrlProp" Target="../ctrlProps/ctrlProp689.xml"/><Relationship Id="rId268" Type="http://schemas.openxmlformats.org/officeDocument/2006/relationships/ctrlProp" Target="../ctrlProps/ctrlProp850.xml"/><Relationship Id="rId11" Type="http://schemas.openxmlformats.org/officeDocument/2006/relationships/ctrlProp" Target="../ctrlProps/ctrlProp593.xml"/><Relationship Id="rId32" Type="http://schemas.openxmlformats.org/officeDocument/2006/relationships/ctrlProp" Target="../ctrlProps/ctrlProp614.xml"/><Relationship Id="rId53" Type="http://schemas.openxmlformats.org/officeDocument/2006/relationships/ctrlProp" Target="../ctrlProps/ctrlProp635.xml"/><Relationship Id="rId74" Type="http://schemas.openxmlformats.org/officeDocument/2006/relationships/ctrlProp" Target="../ctrlProps/ctrlProp656.xml"/><Relationship Id="rId128" Type="http://schemas.openxmlformats.org/officeDocument/2006/relationships/ctrlProp" Target="../ctrlProps/ctrlProp710.xml"/><Relationship Id="rId149" Type="http://schemas.openxmlformats.org/officeDocument/2006/relationships/ctrlProp" Target="../ctrlProps/ctrlProp731.xml"/><Relationship Id="rId5" Type="http://schemas.openxmlformats.org/officeDocument/2006/relationships/ctrlProp" Target="../ctrlProps/ctrlProp587.xml"/><Relationship Id="rId95" Type="http://schemas.openxmlformats.org/officeDocument/2006/relationships/ctrlProp" Target="../ctrlProps/ctrlProp677.xml"/><Relationship Id="rId160" Type="http://schemas.openxmlformats.org/officeDocument/2006/relationships/ctrlProp" Target="../ctrlProps/ctrlProp742.xml"/><Relationship Id="rId181" Type="http://schemas.openxmlformats.org/officeDocument/2006/relationships/ctrlProp" Target="../ctrlProps/ctrlProp763.xml"/><Relationship Id="rId216" Type="http://schemas.openxmlformats.org/officeDocument/2006/relationships/ctrlProp" Target="../ctrlProps/ctrlProp798.xml"/><Relationship Id="rId237" Type="http://schemas.openxmlformats.org/officeDocument/2006/relationships/ctrlProp" Target="../ctrlProps/ctrlProp819.xml"/><Relationship Id="rId258" Type="http://schemas.openxmlformats.org/officeDocument/2006/relationships/ctrlProp" Target="../ctrlProps/ctrlProp840.xml"/><Relationship Id="rId22" Type="http://schemas.openxmlformats.org/officeDocument/2006/relationships/ctrlProp" Target="../ctrlProps/ctrlProp604.xml"/><Relationship Id="rId43" Type="http://schemas.openxmlformats.org/officeDocument/2006/relationships/ctrlProp" Target="../ctrlProps/ctrlProp625.xml"/><Relationship Id="rId64" Type="http://schemas.openxmlformats.org/officeDocument/2006/relationships/ctrlProp" Target="../ctrlProps/ctrlProp646.xml"/><Relationship Id="rId118" Type="http://schemas.openxmlformats.org/officeDocument/2006/relationships/ctrlProp" Target="../ctrlProps/ctrlProp700.xml"/><Relationship Id="rId139" Type="http://schemas.openxmlformats.org/officeDocument/2006/relationships/ctrlProp" Target="../ctrlProps/ctrlProp721.xml"/><Relationship Id="rId85" Type="http://schemas.openxmlformats.org/officeDocument/2006/relationships/ctrlProp" Target="../ctrlProps/ctrlProp667.xml"/><Relationship Id="rId150" Type="http://schemas.openxmlformats.org/officeDocument/2006/relationships/ctrlProp" Target="../ctrlProps/ctrlProp732.xml"/><Relationship Id="rId171" Type="http://schemas.openxmlformats.org/officeDocument/2006/relationships/ctrlProp" Target="../ctrlProps/ctrlProp753.xml"/><Relationship Id="rId192" Type="http://schemas.openxmlformats.org/officeDocument/2006/relationships/ctrlProp" Target="../ctrlProps/ctrlProp774.xml"/><Relationship Id="rId206" Type="http://schemas.openxmlformats.org/officeDocument/2006/relationships/ctrlProp" Target="../ctrlProps/ctrlProp788.xml"/><Relationship Id="rId227" Type="http://schemas.openxmlformats.org/officeDocument/2006/relationships/ctrlProp" Target="../ctrlProps/ctrlProp809.xml"/><Relationship Id="rId248" Type="http://schemas.openxmlformats.org/officeDocument/2006/relationships/ctrlProp" Target="../ctrlProps/ctrlProp830.xml"/><Relationship Id="rId269" Type="http://schemas.openxmlformats.org/officeDocument/2006/relationships/ctrlProp" Target="../ctrlProps/ctrlProp851.xml"/><Relationship Id="rId12" Type="http://schemas.openxmlformats.org/officeDocument/2006/relationships/ctrlProp" Target="../ctrlProps/ctrlProp594.xml"/><Relationship Id="rId33" Type="http://schemas.openxmlformats.org/officeDocument/2006/relationships/ctrlProp" Target="../ctrlProps/ctrlProp615.xml"/><Relationship Id="rId108" Type="http://schemas.openxmlformats.org/officeDocument/2006/relationships/ctrlProp" Target="../ctrlProps/ctrlProp690.xml"/><Relationship Id="rId129" Type="http://schemas.openxmlformats.org/officeDocument/2006/relationships/ctrlProp" Target="../ctrlProps/ctrlProp711.xml"/><Relationship Id="rId54" Type="http://schemas.openxmlformats.org/officeDocument/2006/relationships/ctrlProp" Target="../ctrlProps/ctrlProp636.xml"/><Relationship Id="rId75" Type="http://schemas.openxmlformats.org/officeDocument/2006/relationships/ctrlProp" Target="../ctrlProps/ctrlProp657.xml"/><Relationship Id="rId96" Type="http://schemas.openxmlformats.org/officeDocument/2006/relationships/ctrlProp" Target="../ctrlProps/ctrlProp678.xml"/><Relationship Id="rId140" Type="http://schemas.openxmlformats.org/officeDocument/2006/relationships/ctrlProp" Target="../ctrlProps/ctrlProp722.xml"/><Relationship Id="rId161" Type="http://schemas.openxmlformats.org/officeDocument/2006/relationships/ctrlProp" Target="../ctrlProps/ctrlProp743.xml"/><Relationship Id="rId182" Type="http://schemas.openxmlformats.org/officeDocument/2006/relationships/ctrlProp" Target="../ctrlProps/ctrlProp764.xml"/><Relationship Id="rId217" Type="http://schemas.openxmlformats.org/officeDocument/2006/relationships/ctrlProp" Target="../ctrlProps/ctrlProp799.xml"/><Relationship Id="rId6" Type="http://schemas.openxmlformats.org/officeDocument/2006/relationships/ctrlProp" Target="../ctrlProps/ctrlProp588.xml"/><Relationship Id="rId238" Type="http://schemas.openxmlformats.org/officeDocument/2006/relationships/ctrlProp" Target="../ctrlProps/ctrlProp820.xml"/><Relationship Id="rId259" Type="http://schemas.openxmlformats.org/officeDocument/2006/relationships/ctrlProp" Target="../ctrlProps/ctrlProp841.xml"/><Relationship Id="rId23" Type="http://schemas.openxmlformats.org/officeDocument/2006/relationships/ctrlProp" Target="../ctrlProps/ctrlProp605.xml"/><Relationship Id="rId119" Type="http://schemas.openxmlformats.org/officeDocument/2006/relationships/ctrlProp" Target="../ctrlProps/ctrlProp701.xml"/><Relationship Id="rId270" Type="http://schemas.openxmlformats.org/officeDocument/2006/relationships/ctrlProp" Target="../ctrlProps/ctrlProp852.xml"/><Relationship Id="rId44" Type="http://schemas.openxmlformats.org/officeDocument/2006/relationships/ctrlProp" Target="../ctrlProps/ctrlProp626.xml"/><Relationship Id="rId60" Type="http://schemas.openxmlformats.org/officeDocument/2006/relationships/ctrlProp" Target="../ctrlProps/ctrlProp642.xml"/><Relationship Id="rId65" Type="http://schemas.openxmlformats.org/officeDocument/2006/relationships/ctrlProp" Target="../ctrlProps/ctrlProp647.xml"/><Relationship Id="rId81" Type="http://schemas.openxmlformats.org/officeDocument/2006/relationships/ctrlProp" Target="../ctrlProps/ctrlProp663.xml"/><Relationship Id="rId86" Type="http://schemas.openxmlformats.org/officeDocument/2006/relationships/ctrlProp" Target="../ctrlProps/ctrlProp668.xml"/><Relationship Id="rId130" Type="http://schemas.openxmlformats.org/officeDocument/2006/relationships/ctrlProp" Target="../ctrlProps/ctrlProp712.xml"/><Relationship Id="rId135" Type="http://schemas.openxmlformats.org/officeDocument/2006/relationships/ctrlProp" Target="../ctrlProps/ctrlProp717.xml"/><Relationship Id="rId151" Type="http://schemas.openxmlformats.org/officeDocument/2006/relationships/ctrlProp" Target="../ctrlProps/ctrlProp733.xml"/><Relationship Id="rId156" Type="http://schemas.openxmlformats.org/officeDocument/2006/relationships/ctrlProp" Target="../ctrlProps/ctrlProp738.xml"/><Relationship Id="rId177" Type="http://schemas.openxmlformats.org/officeDocument/2006/relationships/ctrlProp" Target="../ctrlProps/ctrlProp759.xml"/><Relationship Id="rId198" Type="http://schemas.openxmlformats.org/officeDocument/2006/relationships/ctrlProp" Target="../ctrlProps/ctrlProp780.xml"/><Relationship Id="rId172" Type="http://schemas.openxmlformats.org/officeDocument/2006/relationships/ctrlProp" Target="../ctrlProps/ctrlProp754.xml"/><Relationship Id="rId193" Type="http://schemas.openxmlformats.org/officeDocument/2006/relationships/ctrlProp" Target="../ctrlProps/ctrlProp775.xml"/><Relationship Id="rId202" Type="http://schemas.openxmlformats.org/officeDocument/2006/relationships/ctrlProp" Target="../ctrlProps/ctrlProp784.xml"/><Relationship Id="rId207" Type="http://schemas.openxmlformats.org/officeDocument/2006/relationships/ctrlProp" Target="../ctrlProps/ctrlProp789.xml"/><Relationship Id="rId223" Type="http://schemas.openxmlformats.org/officeDocument/2006/relationships/ctrlProp" Target="../ctrlProps/ctrlProp805.xml"/><Relationship Id="rId228" Type="http://schemas.openxmlformats.org/officeDocument/2006/relationships/ctrlProp" Target="../ctrlProps/ctrlProp810.xml"/><Relationship Id="rId244" Type="http://schemas.openxmlformats.org/officeDocument/2006/relationships/ctrlProp" Target="../ctrlProps/ctrlProp826.xml"/><Relationship Id="rId249" Type="http://schemas.openxmlformats.org/officeDocument/2006/relationships/ctrlProp" Target="../ctrlProps/ctrlProp831.xml"/><Relationship Id="rId13" Type="http://schemas.openxmlformats.org/officeDocument/2006/relationships/ctrlProp" Target="../ctrlProps/ctrlProp595.xml"/><Relationship Id="rId18" Type="http://schemas.openxmlformats.org/officeDocument/2006/relationships/ctrlProp" Target="../ctrlProps/ctrlProp600.xml"/><Relationship Id="rId39" Type="http://schemas.openxmlformats.org/officeDocument/2006/relationships/ctrlProp" Target="../ctrlProps/ctrlProp621.xml"/><Relationship Id="rId109" Type="http://schemas.openxmlformats.org/officeDocument/2006/relationships/ctrlProp" Target="../ctrlProps/ctrlProp691.xml"/><Relationship Id="rId260" Type="http://schemas.openxmlformats.org/officeDocument/2006/relationships/ctrlProp" Target="../ctrlProps/ctrlProp842.xml"/><Relationship Id="rId265" Type="http://schemas.openxmlformats.org/officeDocument/2006/relationships/ctrlProp" Target="../ctrlProps/ctrlProp847.xml"/><Relationship Id="rId34" Type="http://schemas.openxmlformats.org/officeDocument/2006/relationships/ctrlProp" Target="../ctrlProps/ctrlProp616.xml"/><Relationship Id="rId50" Type="http://schemas.openxmlformats.org/officeDocument/2006/relationships/ctrlProp" Target="../ctrlProps/ctrlProp632.xml"/><Relationship Id="rId55" Type="http://schemas.openxmlformats.org/officeDocument/2006/relationships/ctrlProp" Target="../ctrlProps/ctrlProp637.xml"/><Relationship Id="rId76" Type="http://schemas.openxmlformats.org/officeDocument/2006/relationships/ctrlProp" Target="../ctrlProps/ctrlProp658.xml"/><Relationship Id="rId97" Type="http://schemas.openxmlformats.org/officeDocument/2006/relationships/ctrlProp" Target="../ctrlProps/ctrlProp679.xml"/><Relationship Id="rId104" Type="http://schemas.openxmlformats.org/officeDocument/2006/relationships/ctrlProp" Target="../ctrlProps/ctrlProp686.xml"/><Relationship Id="rId120" Type="http://schemas.openxmlformats.org/officeDocument/2006/relationships/ctrlProp" Target="../ctrlProps/ctrlProp702.xml"/><Relationship Id="rId125" Type="http://schemas.openxmlformats.org/officeDocument/2006/relationships/ctrlProp" Target="../ctrlProps/ctrlProp707.xml"/><Relationship Id="rId141" Type="http://schemas.openxmlformats.org/officeDocument/2006/relationships/ctrlProp" Target="../ctrlProps/ctrlProp723.xml"/><Relationship Id="rId146" Type="http://schemas.openxmlformats.org/officeDocument/2006/relationships/ctrlProp" Target="../ctrlProps/ctrlProp728.xml"/><Relationship Id="rId167" Type="http://schemas.openxmlformats.org/officeDocument/2006/relationships/ctrlProp" Target="../ctrlProps/ctrlProp749.xml"/><Relationship Id="rId188" Type="http://schemas.openxmlformats.org/officeDocument/2006/relationships/ctrlProp" Target="../ctrlProps/ctrlProp770.xml"/><Relationship Id="rId7" Type="http://schemas.openxmlformats.org/officeDocument/2006/relationships/ctrlProp" Target="../ctrlProps/ctrlProp589.xml"/><Relationship Id="rId71" Type="http://schemas.openxmlformats.org/officeDocument/2006/relationships/ctrlProp" Target="../ctrlProps/ctrlProp653.xml"/><Relationship Id="rId92" Type="http://schemas.openxmlformats.org/officeDocument/2006/relationships/ctrlProp" Target="../ctrlProps/ctrlProp674.xml"/><Relationship Id="rId162" Type="http://schemas.openxmlformats.org/officeDocument/2006/relationships/ctrlProp" Target="../ctrlProps/ctrlProp744.xml"/><Relationship Id="rId183" Type="http://schemas.openxmlformats.org/officeDocument/2006/relationships/ctrlProp" Target="../ctrlProps/ctrlProp765.xml"/><Relationship Id="rId213" Type="http://schemas.openxmlformats.org/officeDocument/2006/relationships/ctrlProp" Target="../ctrlProps/ctrlProp795.xml"/><Relationship Id="rId218" Type="http://schemas.openxmlformats.org/officeDocument/2006/relationships/ctrlProp" Target="../ctrlProps/ctrlProp800.xml"/><Relationship Id="rId234" Type="http://schemas.openxmlformats.org/officeDocument/2006/relationships/ctrlProp" Target="../ctrlProps/ctrlProp816.xml"/><Relationship Id="rId239" Type="http://schemas.openxmlformats.org/officeDocument/2006/relationships/ctrlProp" Target="../ctrlProps/ctrlProp821.xml"/><Relationship Id="rId2" Type="http://schemas.openxmlformats.org/officeDocument/2006/relationships/vmlDrawing" Target="../drawings/vmlDrawing4.vml"/><Relationship Id="rId29" Type="http://schemas.openxmlformats.org/officeDocument/2006/relationships/ctrlProp" Target="../ctrlProps/ctrlProp611.xml"/><Relationship Id="rId250" Type="http://schemas.openxmlformats.org/officeDocument/2006/relationships/ctrlProp" Target="../ctrlProps/ctrlProp832.xml"/><Relationship Id="rId255" Type="http://schemas.openxmlformats.org/officeDocument/2006/relationships/ctrlProp" Target="../ctrlProps/ctrlProp837.xml"/><Relationship Id="rId271" Type="http://schemas.openxmlformats.org/officeDocument/2006/relationships/ctrlProp" Target="../ctrlProps/ctrlProp853.xml"/><Relationship Id="rId24" Type="http://schemas.openxmlformats.org/officeDocument/2006/relationships/ctrlProp" Target="../ctrlProps/ctrlProp606.xml"/><Relationship Id="rId40" Type="http://schemas.openxmlformats.org/officeDocument/2006/relationships/ctrlProp" Target="../ctrlProps/ctrlProp622.xml"/><Relationship Id="rId45" Type="http://schemas.openxmlformats.org/officeDocument/2006/relationships/ctrlProp" Target="../ctrlProps/ctrlProp627.xml"/><Relationship Id="rId66" Type="http://schemas.openxmlformats.org/officeDocument/2006/relationships/ctrlProp" Target="../ctrlProps/ctrlProp648.xml"/><Relationship Id="rId87" Type="http://schemas.openxmlformats.org/officeDocument/2006/relationships/ctrlProp" Target="../ctrlProps/ctrlProp669.xml"/><Relationship Id="rId110" Type="http://schemas.openxmlformats.org/officeDocument/2006/relationships/ctrlProp" Target="../ctrlProps/ctrlProp692.xml"/><Relationship Id="rId115" Type="http://schemas.openxmlformats.org/officeDocument/2006/relationships/ctrlProp" Target="../ctrlProps/ctrlProp697.xml"/><Relationship Id="rId131" Type="http://schemas.openxmlformats.org/officeDocument/2006/relationships/ctrlProp" Target="../ctrlProps/ctrlProp713.xml"/><Relationship Id="rId136" Type="http://schemas.openxmlformats.org/officeDocument/2006/relationships/ctrlProp" Target="../ctrlProps/ctrlProp718.xml"/><Relationship Id="rId157" Type="http://schemas.openxmlformats.org/officeDocument/2006/relationships/ctrlProp" Target="../ctrlProps/ctrlProp739.xml"/><Relationship Id="rId178" Type="http://schemas.openxmlformats.org/officeDocument/2006/relationships/ctrlProp" Target="../ctrlProps/ctrlProp760.xml"/><Relationship Id="rId61" Type="http://schemas.openxmlformats.org/officeDocument/2006/relationships/ctrlProp" Target="../ctrlProps/ctrlProp643.xml"/><Relationship Id="rId82" Type="http://schemas.openxmlformats.org/officeDocument/2006/relationships/ctrlProp" Target="../ctrlProps/ctrlProp664.xml"/><Relationship Id="rId152" Type="http://schemas.openxmlformats.org/officeDocument/2006/relationships/ctrlProp" Target="../ctrlProps/ctrlProp734.xml"/><Relationship Id="rId173" Type="http://schemas.openxmlformats.org/officeDocument/2006/relationships/ctrlProp" Target="../ctrlProps/ctrlProp755.xml"/><Relationship Id="rId194" Type="http://schemas.openxmlformats.org/officeDocument/2006/relationships/ctrlProp" Target="../ctrlProps/ctrlProp776.xml"/><Relationship Id="rId199" Type="http://schemas.openxmlformats.org/officeDocument/2006/relationships/ctrlProp" Target="../ctrlProps/ctrlProp781.xml"/><Relationship Id="rId203" Type="http://schemas.openxmlformats.org/officeDocument/2006/relationships/ctrlProp" Target="../ctrlProps/ctrlProp785.xml"/><Relationship Id="rId208" Type="http://schemas.openxmlformats.org/officeDocument/2006/relationships/ctrlProp" Target="../ctrlProps/ctrlProp790.xml"/><Relationship Id="rId229" Type="http://schemas.openxmlformats.org/officeDocument/2006/relationships/ctrlProp" Target="../ctrlProps/ctrlProp811.xml"/><Relationship Id="rId19" Type="http://schemas.openxmlformats.org/officeDocument/2006/relationships/ctrlProp" Target="../ctrlProps/ctrlProp601.xml"/><Relationship Id="rId224" Type="http://schemas.openxmlformats.org/officeDocument/2006/relationships/ctrlProp" Target="../ctrlProps/ctrlProp806.xml"/><Relationship Id="rId240" Type="http://schemas.openxmlformats.org/officeDocument/2006/relationships/ctrlProp" Target="../ctrlProps/ctrlProp822.xml"/><Relationship Id="rId245" Type="http://schemas.openxmlformats.org/officeDocument/2006/relationships/ctrlProp" Target="../ctrlProps/ctrlProp827.xml"/><Relationship Id="rId261" Type="http://schemas.openxmlformats.org/officeDocument/2006/relationships/ctrlProp" Target="../ctrlProps/ctrlProp843.xml"/><Relationship Id="rId266" Type="http://schemas.openxmlformats.org/officeDocument/2006/relationships/ctrlProp" Target="../ctrlProps/ctrlProp848.xml"/><Relationship Id="rId14" Type="http://schemas.openxmlformats.org/officeDocument/2006/relationships/ctrlProp" Target="../ctrlProps/ctrlProp596.xml"/><Relationship Id="rId30" Type="http://schemas.openxmlformats.org/officeDocument/2006/relationships/ctrlProp" Target="../ctrlProps/ctrlProp612.xml"/><Relationship Id="rId35" Type="http://schemas.openxmlformats.org/officeDocument/2006/relationships/ctrlProp" Target="../ctrlProps/ctrlProp617.xml"/><Relationship Id="rId56" Type="http://schemas.openxmlformats.org/officeDocument/2006/relationships/ctrlProp" Target="../ctrlProps/ctrlProp638.xml"/><Relationship Id="rId77" Type="http://schemas.openxmlformats.org/officeDocument/2006/relationships/ctrlProp" Target="../ctrlProps/ctrlProp659.xml"/><Relationship Id="rId100" Type="http://schemas.openxmlformats.org/officeDocument/2006/relationships/ctrlProp" Target="../ctrlProps/ctrlProp682.xml"/><Relationship Id="rId105" Type="http://schemas.openxmlformats.org/officeDocument/2006/relationships/ctrlProp" Target="../ctrlProps/ctrlProp687.xml"/><Relationship Id="rId126" Type="http://schemas.openxmlformats.org/officeDocument/2006/relationships/ctrlProp" Target="../ctrlProps/ctrlProp708.xml"/><Relationship Id="rId147" Type="http://schemas.openxmlformats.org/officeDocument/2006/relationships/ctrlProp" Target="../ctrlProps/ctrlProp729.xml"/><Relationship Id="rId168" Type="http://schemas.openxmlformats.org/officeDocument/2006/relationships/ctrlProp" Target="../ctrlProps/ctrlProp750.xml"/><Relationship Id="rId8" Type="http://schemas.openxmlformats.org/officeDocument/2006/relationships/ctrlProp" Target="../ctrlProps/ctrlProp590.xml"/><Relationship Id="rId51" Type="http://schemas.openxmlformats.org/officeDocument/2006/relationships/ctrlProp" Target="../ctrlProps/ctrlProp633.xml"/><Relationship Id="rId72" Type="http://schemas.openxmlformats.org/officeDocument/2006/relationships/ctrlProp" Target="../ctrlProps/ctrlProp654.xml"/><Relationship Id="rId93" Type="http://schemas.openxmlformats.org/officeDocument/2006/relationships/ctrlProp" Target="../ctrlProps/ctrlProp675.xml"/><Relationship Id="rId98" Type="http://schemas.openxmlformats.org/officeDocument/2006/relationships/ctrlProp" Target="../ctrlProps/ctrlProp680.xml"/><Relationship Id="rId121" Type="http://schemas.openxmlformats.org/officeDocument/2006/relationships/ctrlProp" Target="../ctrlProps/ctrlProp703.xml"/><Relationship Id="rId142" Type="http://schemas.openxmlformats.org/officeDocument/2006/relationships/ctrlProp" Target="../ctrlProps/ctrlProp724.xml"/><Relationship Id="rId163" Type="http://schemas.openxmlformats.org/officeDocument/2006/relationships/ctrlProp" Target="../ctrlProps/ctrlProp745.xml"/><Relationship Id="rId184" Type="http://schemas.openxmlformats.org/officeDocument/2006/relationships/ctrlProp" Target="../ctrlProps/ctrlProp766.xml"/><Relationship Id="rId189" Type="http://schemas.openxmlformats.org/officeDocument/2006/relationships/ctrlProp" Target="../ctrlProps/ctrlProp771.xml"/><Relationship Id="rId219" Type="http://schemas.openxmlformats.org/officeDocument/2006/relationships/ctrlProp" Target="../ctrlProps/ctrlProp801.xml"/><Relationship Id="rId3" Type="http://schemas.openxmlformats.org/officeDocument/2006/relationships/ctrlProp" Target="../ctrlProps/ctrlProp585.xml"/><Relationship Id="rId214" Type="http://schemas.openxmlformats.org/officeDocument/2006/relationships/ctrlProp" Target="../ctrlProps/ctrlProp796.xml"/><Relationship Id="rId230" Type="http://schemas.openxmlformats.org/officeDocument/2006/relationships/ctrlProp" Target="../ctrlProps/ctrlProp812.xml"/><Relationship Id="rId235" Type="http://schemas.openxmlformats.org/officeDocument/2006/relationships/ctrlProp" Target="../ctrlProps/ctrlProp817.xml"/><Relationship Id="rId251" Type="http://schemas.openxmlformats.org/officeDocument/2006/relationships/ctrlProp" Target="../ctrlProps/ctrlProp833.xml"/><Relationship Id="rId256" Type="http://schemas.openxmlformats.org/officeDocument/2006/relationships/ctrlProp" Target="../ctrlProps/ctrlProp838.xml"/><Relationship Id="rId25" Type="http://schemas.openxmlformats.org/officeDocument/2006/relationships/ctrlProp" Target="../ctrlProps/ctrlProp607.xml"/><Relationship Id="rId46" Type="http://schemas.openxmlformats.org/officeDocument/2006/relationships/ctrlProp" Target="../ctrlProps/ctrlProp628.xml"/><Relationship Id="rId67" Type="http://schemas.openxmlformats.org/officeDocument/2006/relationships/ctrlProp" Target="../ctrlProps/ctrlProp649.xml"/><Relationship Id="rId116" Type="http://schemas.openxmlformats.org/officeDocument/2006/relationships/ctrlProp" Target="../ctrlProps/ctrlProp698.xml"/><Relationship Id="rId137" Type="http://schemas.openxmlformats.org/officeDocument/2006/relationships/ctrlProp" Target="../ctrlProps/ctrlProp719.xml"/><Relationship Id="rId158" Type="http://schemas.openxmlformats.org/officeDocument/2006/relationships/ctrlProp" Target="../ctrlProps/ctrlProp740.xml"/><Relationship Id="rId20" Type="http://schemas.openxmlformats.org/officeDocument/2006/relationships/ctrlProp" Target="../ctrlProps/ctrlProp602.xml"/><Relationship Id="rId41" Type="http://schemas.openxmlformats.org/officeDocument/2006/relationships/ctrlProp" Target="../ctrlProps/ctrlProp623.xml"/><Relationship Id="rId62" Type="http://schemas.openxmlformats.org/officeDocument/2006/relationships/ctrlProp" Target="../ctrlProps/ctrlProp644.xml"/><Relationship Id="rId83" Type="http://schemas.openxmlformats.org/officeDocument/2006/relationships/ctrlProp" Target="../ctrlProps/ctrlProp665.xml"/><Relationship Id="rId88" Type="http://schemas.openxmlformats.org/officeDocument/2006/relationships/ctrlProp" Target="../ctrlProps/ctrlProp670.xml"/><Relationship Id="rId111" Type="http://schemas.openxmlformats.org/officeDocument/2006/relationships/ctrlProp" Target="../ctrlProps/ctrlProp693.xml"/><Relationship Id="rId132" Type="http://schemas.openxmlformats.org/officeDocument/2006/relationships/ctrlProp" Target="../ctrlProps/ctrlProp714.xml"/><Relationship Id="rId153" Type="http://schemas.openxmlformats.org/officeDocument/2006/relationships/ctrlProp" Target="../ctrlProps/ctrlProp735.xml"/><Relationship Id="rId174" Type="http://schemas.openxmlformats.org/officeDocument/2006/relationships/ctrlProp" Target="../ctrlProps/ctrlProp756.xml"/><Relationship Id="rId179" Type="http://schemas.openxmlformats.org/officeDocument/2006/relationships/ctrlProp" Target="../ctrlProps/ctrlProp761.xml"/><Relationship Id="rId195" Type="http://schemas.openxmlformats.org/officeDocument/2006/relationships/ctrlProp" Target="../ctrlProps/ctrlProp777.xml"/><Relationship Id="rId209" Type="http://schemas.openxmlformats.org/officeDocument/2006/relationships/ctrlProp" Target="../ctrlProps/ctrlProp791.xml"/><Relationship Id="rId190" Type="http://schemas.openxmlformats.org/officeDocument/2006/relationships/ctrlProp" Target="../ctrlProps/ctrlProp772.xml"/><Relationship Id="rId204" Type="http://schemas.openxmlformats.org/officeDocument/2006/relationships/ctrlProp" Target="../ctrlProps/ctrlProp786.xml"/><Relationship Id="rId220" Type="http://schemas.openxmlformats.org/officeDocument/2006/relationships/ctrlProp" Target="../ctrlProps/ctrlProp802.xml"/><Relationship Id="rId225" Type="http://schemas.openxmlformats.org/officeDocument/2006/relationships/ctrlProp" Target="../ctrlProps/ctrlProp807.xml"/><Relationship Id="rId241" Type="http://schemas.openxmlformats.org/officeDocument/2006/relationships/ctrlProp" Target="../ctrlProps/ctrlProp823.xml"/><Relationship Id="rId246" Type="http://schemas.openxmlformats.org/officeDocument/2006/relationships/ctrlProp" Target="../ctrlProps/ctrlProp828.xml"/><Relationship Id="rId267" Type="http://schemas.openxmlformats.org/officeDocument/2006/relationships/ctrlProp" Target="../ctrlProps/ctrlProp849.xml"/><Relationship Id="rId15" Type="http://schemas.openxmlformats.org/officeDocument/2006/relationships/ctrlProp" Target="../ctrlProps/ctrlProp597.xml"/><Relationship Id="rId36" Type="http://schemas.openxmlformats.org/officeDocument/2006/relationships/ctrlProp" Target="../ctrlProps/ctrlProp618.xml"/><Relationship Id="rId57" Type="http://schemas.openxmlformats.org/officeDocument/2006/relationships/ctrlProp" Target="../ctrlProps/ctrlProp639.xml"/><Relationship Id="rId106" Type="http://schemas.openxmlformats.org/officeDocument/2006/relationships/ctrlProp" Target="../ctrlProps/ctrlProp688.xml"/><Relationship Id="rId127" Type="http://schemas.openxmlformats.org/officeDocument/2006/relationships/ctrlProp" Target="../ctrlProps/ctrlProp709.xml"/><Relationship Id="rId262" Type="http://schemas.openxmlformats.org/officeDocument/2006/relationships/ctrlProp" Target="../ctrlProps/ctrlProp844.xml"/><Relationship Id="rId10" Type="http://schemas.openxmlformats.org/officeDocument/2006/relationships/ctrlProp" Target="../ctrlProps/ctrlProp592.xml"/><Relationship Id="rId31" Type="http://schemas.openxmlformats.org/officeDocument/2006/relationships/ctrlProp" Target="../ctrlProps/ctrlProp613.xml"/><Relationship Id="rId52" Type="http://schemas.openxmlformats.org/officeDocument/2006/relationships/ctrlProp" Target="../ctrlProps/ctrlProp634.xml"/><Relationship Id="rId73" Type="http://schemas.openxmlformats.org/officeDocument/2006/relationships/ctrlProp" Target="../ctrlProps/ctrlProp655.xml"/><Relationship Id="rId78" Type="http://schemas.openxmlformats.org/officeDocument/2006/relationships/ctrlProp" Target="../ctrlProps/ctrlProp660.xml"/><Relationship Id="rId94" Type="http://schemas.openxmlformats.org/officeDocument/2006/relationships/ctrlProp" Target="../ctrlProps/ctrlProp676.xml"/><Relationship Id="rId99" Type="http://schemas.openxmlformats.org/officeDocument/2006/relationships/ctrlProp" Target="../ctrlProps/ctrlProp681.xml"/><Relationship Id="rId101" Type="http://schemas.openxmlformats.org/officeDocument/2006/relationships/ctrlProp" Target="../ctrlProps/ctrlProp683.xml"/><Relationship Id="rId122" Type="http://schemas.openxmlformats.org/officeDocument/2006/relationships/ctrlProp" Target="../ctrlProps/ctrlProp704.xml"/><Relationship Id="rId143" Type="http://schemas.openxmlformats.org/officeDocument/2006/relationships/ctrlProp" Target="../ctrlProps/ctrlProp725.xml"/><Relationship Id="rId148" Type="http://schemas.openxmlformats.org/officeDocument/2006/relationships/ctrlProp" Target="../ctrlProps/ctrlProp730.xml"/><Relationship Id="rId164" Type="http://schemas.openxmlformats.org/officeDocument/2006/relationships/ctrlProp" Target="../ctrlProps/ctrlProp746.xml"/><Relationship Id="rId169" Type="http://schemas.openxmlformats.org/officeDocument/2006/relationships/ctrlProp" Target="../ctrlProps/ctrlProp751.xml"/><Relationship Id="rId185" Type="http://schemas.openxmlformats.org/officeDocument/2006/relationships/ctrlProp" Target="../ctrlProps/ctrlProp767.xml"/><Relationship Id="rId4" Type="http://schemas.openxmlformats.org/officeDocument/2006/relationships/ctrlProp" Target="../ctrlProps/ctrlProp586.xml"/><Relationship Id="rId9" Type="http://schemas.openxmlformats.org/officeDocument/2006/relationships/ctrlProp" Target="../ctrlProps/ctrlProp591.xml"/><Relationship Id="rId180" Type="http://schemas.openxmlformats.org/officeDocument/2006/relationships/ctrlProp" Target="../ctrlProps/ctrlProp762.xml"/><Relationship Id="rId210" Type="http://schemas.openxmlformats.org/officeDocument/2006/relationships/ctrlProp" Target="../ctrlProps/ctrlProp792.xml"/><Relationship Id="rId215" Type="http://schemas.openxmlformats.org/officeDocument/2006/relationships/ctrlProp" Target="../ctrlProps/ctrlProp797.xml"/><Relationship Id="rId236" Type="http://schemas.openxmlformats.org/officeDocument/2006/relationships/ctrlProp" Target="../ctrlProps/ctrlProp818.xml"/><Relationship Id="rId257" Type="http://schemas.openxmlformats.org/officeDocument/2006/relationships/ctrlProp" Target="../ctrlProps/ctrlProp839.xml"/><Relationship Id="rId26" Type="http://schemas.openxmlformats.org/officeDocument/2006/relationships/ctrlProp" Target="../ctrlProps/ctrlProp608.xml"/><Relationship Id="rId231" Type="http://schemas.openxmlformats.org/officeDocument/2006/relationships/ctrlProp" Target="../ctrlProps/ctrlProp813.xml"/><Relationship Id="rId252" Type="http://schemas.openxmlformats.org/officeDocument/2006/relationships/ctrlProp" Target="../ctrlProps/ctrlProp834.xml"/><Relationship Id="rId47" Type="http://schemas.openxmlformats.org/officeDocument/2006/relationships/ctrlProp" Target="../ctrlProps/ctrlProp629.xml"/><Relationship Id="rId68" Type="http://schemas.openxmlformats.org/officeDocument/2006/relationships/ctrlProp" Target="../ctrlProps/ctrlProp650.xml"/><Relationship Id="rId89" Type="http://schemas.openxmlformats.org/officeDocument/2006/relationships/ctrlProp" Target="../ctrlProps/ctrlProp671.xml"/><Relationship Id="rId112" Type="http://schemas.openxmlformats.org/officeDocument/2006/relationships/ctrlProp" Target="../ctrlProps/ctrlProp694.xml"/><Relationship Id="rId133" Type="http://schemas.openxmlformats.org/officeDocument/2006/relationships/ctrlProp" Target="../ctrlProps/ctrlProp715.xml"/><Relationship Id="rId154" Type="http://schemas.openxmlformats.org/officeDocument/2006/relationships/ctrlProp" Target="../ctrlProps/ctrlProp736.xml"/><Relationship Id="rId175" Type="http://schemas.openxmlformats.org/officeDocument/2006/relationships/ctrlProp" Target="../ctrlProps/ctrlProp757.xml"/><Relationship Id="rId196" Type="http://schemas.openxmlformats.org/officeDocument/2006/relationships/ctrlProp" Target="../ctrlProps/ctrlProp778.xml"/><Relationship Id="rId200" Type="http://schemas.openxmlformats.org/officeDocument/2006/relationships/ctrlProp" Target="../ctrlProps/ctrlProp782.xml"/><Relationship Id="rId16" Type="http://schemas.openxmlformats.org/officeDocument/2006/relationships/ctrlProp" Target="../ctrlProps/ctrlProp598.xml"/><Relationship Id="rId221" Type="http://schemas.openxmlformats.org/officeDocument/2006/relationships/ctrlProp" Target="../ctrlProps/ctrlProp803.xml"/><Relationship Id="rId242" Type="http://schemas.openxmlformats.org/officeDocument/2006/relationships/ctrlProp" Target="../ctrlProps/ctrlProp824.xml"/><Relationship Id="rId263" Type="http://schemas.openxmlformats.org/officeDocument/2006/relationships/ctrlProp" Target="../ctrlProps/ctrlProp845.xml"/><Relationship Id="rId37" Type="http://schemas.openxmlformats.org/officeDocument/2006/relationships/ctrlProp" Target="../ctrlProps/ctrlProp619.xml"/><Relationship Id="rId58" Type="http://schemas.openxmlformats.org/officeDocument/2006/relationships/ctrlProp" Target="../ctrlProps/ctrlProp640.xml"/><Relationship Id="rId79" Type="http://schemas.openxmlformats.org/officeDocument/2006/relationships/ctrlProp" Target="../ctrlProps/ctrlProp661.xml"/><Relationship Id="rId102" Type="http://schemas.openxmlformats.org/officeDocument/2006/relationships/ctrlProp" Target="../ctrlProps/ctrlProp684.xml"/><Relationship Id="rId123" Type="http://schemas.openxmlformats.org/officeDocument/2006/relationships/ctrlProp" Target="../ctrlProps/ctrlProp705.xml"/><Relationship Id="rId144" Type="http://schemas.openxmlformats.org/officeDocument/2006/relationships/ctrlProp" Target="../ctrlProps/ctrlProp726.xml"/><Relationship Id="rId90" Type="http://schemas.openxmlformats.org/officeDocument/2006/relationships/ctrlProp" Target="../ctrlProps/ctrlProp672.xml"/><Relationship Id="rId165" Type="http://schemas.openxmlformats.org/officeDocument/2006/relationships/ctrlProp" Target="../ctrlProps/ctrlProp747.xml"/><Relationship Id="rId186" Type="http://schemas.openxmlformats.org/officeDocument/2006/relationships/ctrlProp" Target="../ctrlProps/ctrlProp768.xml"/><Relationship Id="rId211" Type="http://schemas.openxmlformats.org/officeDocument/2006/relationships/ctrlProp" Target="../ctrlProps/ctrlProp793.xml"/><Relationship Id="rId232" Type="http://schemas.openxmlformats.org/officeDocument/2006/relationships/ctrlProp" Target="../ctrlProps/ctrlProp814.xml"/><Relationship Id="rId253" Type="http://schemas.openxmlformats.org/officeDocument/2006/relationships/ctrlProp" Target="../ctrlProps/ctrlProp835.xml"/><Relationship Id="rId27" Type="http://schemas.openxmlformats.org/officeDocument/2006/relationships/ctrlProp" Target="../ctrlProps/ctrlProp609.xml"/><Relationship Id="rId48" Type="http://schemas.openxmlformats.org/officeDocument/2006/relationships/ctrlProp" Target="../ctrlProps/ctrlProp630.xml"/><Relationship Id="rId69" Type="http://schemas.openxmlformats.org/officeDocument/2006/relationships/ctrlProp" Target="../ctrlProps/ctrlProp651.xml"/><Relationship Id="rId113" Type="http://schemas.openxmlformats.org/officeDocument/2006/relationships/ctrlProp" Target="../ctrlProps/ctrlProp695.xml"/><Relationship Id="rId134" Type="http://schemas.openxmlformats.org/officeDocument/2006/relationships/ctrlProp" Target="../ctrlProps/ctrlProp716.xml"/><Relationship Id="rId80" Type="http://schemas.openxmlformats.org/officeDocument/2006/relationships/ctrlProp" Target="../ctrlProps/ctrlProp662.xml"/><Relationship Id="rId155" Type="http://schemas.openxmlformats.org/officeDocument/2006/relationships/ctrlProp" Target="../ctrlProps/ctrlProp737.xml"/><Relationship Id="rId176" Type="http://schemas.openxmlformats.org/officeDocument/2006/relationships/ctrlProp" Target="../ctrlProps/ctrlProp758.xml"/><Relationship Id="rId197" Type="http://schemas.openxmlformats.org/officeDocument/2006/relationships/ctrlProp" Target="../ctrlProps/ctrlProp779.xml"/><Relationship Id="rId201" Type="http://schemas.openxmlformats.org/officeDocument/2006/relationships/ctrlProp" Target="../ctrlProps/ctrlProp783.xml"/><Relationship Id="rId222" Type="http://schemas.openxmlformats.org/officeDocument/2006/relationships/ctrlProp" Target="../ctrlProps/ctrlProp804.xml"/><Relationship Id="rId243" Type="http://schemas.openxmlformats.org/officeDocument/2006/relationships/ctrlProp" Target="../ctrlProps/ctrlProp825.xml"/><Relationship Id="rId264" Type="http://schemas.openxmlformats.org/officeDocument/2006/relationships/ctrlProp" Target="../ctrlProps/ctrlProp846.xml"/><Relationship Id="rId17" Type="http://schemas.openxmlformats.org/officeDocument/2006/relationships/ctrlProp" Target="../ctrlProps/ctrlProp599.xml"/><Relationship Id="rId38" Type="http://schemas.openxmlformats.org/officeDocument/2006/relationships/ctrlProp" Target="../ctrlProps/ctrlProp620.xml"/><Relationship Id="rId59" Type="http://schemas.openxmlformats.org/officeDocument/2006/relationships/ctrlProp" Target="../ctrlProps/ctrlProp641.xml"/><Relationship Id="rId103" Type="http://schemas.openxmlformats.org/officeDocument/2006/relationships/ctrlProp" Target="../ctrlProps/ctrlProp685.xml"/><Relationship Id="rId124" Type="http://schemas.openxmlformats.org/officeDocument/2006/relationships/ctrlProp" Target="../ctrlProps/ctrlProp706.xml"/><Relationship Id="rId70" Type="http://schemas.openxmlformats.org/officeDocument/2006/relationships/ctrlProp" Target="../ctrlProps/ctrlProp652.xml"/><Relationship Id="rId91" Type="http://schemas.openxmlformats.org/officeDocument/2006/relationships/ctrlProp" Target="../ctrlProps/ctrlProp673.xml"/><Relationship Id="rId145" Type="http://schemas.openxmlformats.org/officeDocument/2006/relationships/ctrlProp" Target="../ctrlProps/ctrlProp727.xml"/><Relationship Id="rId166" Type="http://schemas.openxmlformats.org/officeDocument/2006/relationships/ctrlProp" Target="../ctrlProps/ctrlProp748.xml"/><Relationship Id="rId187" Type="http://schemas.openxmlformats.org/officeDocument/2006/relationships/ctrlProp" Target="../ctrlProps/ctrlProp769.xml"/><Relationship Id="rId1" Type="http://schemas.openxmlformats.org/officeDocument/2006/relationships/drawing" Target="../drawings/drawing4.xml"/><Relationship Id="rId212" Type="http://schemas.openxmlformats.org/officeDocument/2006/relationships/ctrlProp" Target="../ctrlProps/ctrlProp794.xml"/><Relationship Id="rId233" Type="http://schemas.openxmlformats.org/officeDocument/2006/relationships/ctrlProp" Target="../ctrlProps/ctrlProp815.xml"/><Relationship Id="rId254" Type="http://schemas.openxmlformats.org/officeDocument/2006/relationships/ctrlProp" Target="../ctrlProps/ctrlProp836.xml"/><Relationship Id="rId28" Type="http://schemas.openxmlformats.org/officeDocument/2006/relationships/ctrlProp" Target="../ctrlProps/ctrlProp610.xml"/><Relationship Id="rId49" Type="http://schemas.openxmlformats.org/officeDocument/2006/relationships/ctrlProp" Target="../ctrlProps/ctrlProp631.xml"/><Relationship Id="rId114" Type="http://schemas.openxmlformats.org/officeDocument/2006/relationships/ctrlProp" Target="../ctrlProps/ctrlProp69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Y25"/>
  <sheetViews>
    <sheetView showZeros="0" tabSelected="1" workbookViewId="0">
      <selection activeCell="G13" sqref="G13:AA13"/>
    </sheetView>
  </sheetViews>
  <sheetFormatPr defaultColWidth="2.4609375" defaultRowHeight="12.45" x14ac:dyDescent="0.3"/>
  <cols>
    <col min="1" max="2" width="2.4609375" customWidth="1"/>
    <col min="4" max="4" width="2.4609375" customWidth="1"/>
    <col min="22" max="22" width="2.4609375" customWidth="1"/>
    <col min="49" max="49" width="10.3046875" customWidth="1"/>
    <col min="50" max="50" width="22.15234375" customWidth="1"/>
    <col min="51" max="51" width="7.3046875" customWidth="1"/>
  </cols>
  <sheetData>
    <row r="1" spans="1:51" ht="15.75" customHeight="1" x14ac:dyDescent="0.4">
      <c r="A1" s="643" t="s">
        <v>2020</v>
      </c>
      <c r="AO1" s="682" t="s">
        <v>9148</v>
      </c>
      <c r="AP1" s="682"/>
      <c r="AQ1" s="682"/>
      <c r="AR1" s="682"/>
    </row>
    <row r="2" spans="1:51" ht="4.5" customHeight="1" x14ac:dyDescent="0.3">
      <c r="A2" s="391"/>
    </row>
    <row r="3" spans="1:51" ht="12.75" customHeight="1" x14ac:dyDescent="0.3">
      <c r="D3" s="301" t="str">
        <f>IF(calculations!B3=0,"ENTITY TYPE must be checked for this form to operate properly","")</f>
        <v>ENTITY TYPE must be checked for this form to operate properly</v>
      </c>
      <c r="AW3" s="684"/>
      <c r="AX3" s="684"/>
    </row>
    <row r="4" spans="1:51" ht="4.5" customHeight="1" x14ac:dyDescent="0.3">
      <c r="D4" s="636"/>
    </row>
    <row r="5" spans="1:51" x14ac:dyDescent="0.3">
      <c r="D5" s="391" t="s">
        <v>2021</v>
      </c>
      <c r="AW5" s="653" t="s">
        <v>386</v>
      </c>
      <c r="AX5" s="653" t="e">
        <f>VLOOKUP(R7,CList!A2:N1208,2,FALSE)</f>
        <v>#N/A</v>
      </c>
      <c r="AY5" s="653"/>
    </row>
    <row r="6" spans="1:51" ht="4.5" customHeight="1" x14ac:dyDescent="0.3">
      <c r="D6" s="81"/>
      <c r="AW6" s="653"/>
      <c r="AX6" s="653"/>
      <c r="AY6" s="653"/>
    </row>
    <row r="7" spans="1:51" ht="13.5" customHeight="1" x14ac:dyDescent="0.3">
      <c r="D7" s="391" t="str">
        <f>IF(calculations!B3=1,"Please enter organization number:",IF(calculations!B3=2,"Please enter association number:",""))</f>
        <v/>
      </c>
      <c r="R7" s="676"/>
      <c r="S7" s="677"/>
      <c r="T7" s="678"/>
      <c r="AW7" s="653" t="s">
        <v>3809</v>
      </c>
      <c r="AX7" s="653" t="e">
        <f>VLOOKUP(R7,CList!A2:N1208,3,FALSE)</f>
        <v>#N/A</v>
      </c>
      <c r="AY7" s="653"/>
    </row>
    <row r="8" spans="1:51" ht="4.5" customHeight="1" x14ac:dyDescent="0.3">
      <c r="D8" s="81"/>
      <c r="AW8" s="653"/>
      <c r="AX8" s="653"/>
      <c r="AY8" s="653"/>
    </row>
    <row r="9" spans="1:51" ht="12.75" customHeight="1" x14ac:dyDescent="0.3">
      <c r="A9" s="655">
        <f>IF(calculations!B3=0,0,IF(P9&gt;2499999,1,2))</f>
        <v>0</v>
      </c>
      <c r="D9" s="658"/>
      <c r="E9" s="658"/>
      <c r="F9" s="658"/>
      <c r="G9" s="658"/>
      <c r="H9" s="658"/>
      <c r="I9" s="658"/>
      <c r="J9" s="658"/>
      <c r="K9" s="658"/>
      <c r="L9" s="658"/>
      <c r="M9" s="658"/>
      <c r="N9" s="658"/>
      <c r="O9" s="658"/>
      <c r="P9" s="658"/>
      <c r="Q9" s="658"/>
      <c r="R9" s="658"/>
      <c r="S9" s="658"/>
      <c r="T9" s="658"/>
      <c r="U9" s="658"/>
      <c r="W9" s="652"/>
      <c r="AW9" s="653" t="s">
        <v>2024</v>
      </c>
      <c r="AX9" s="653" t="e">
        <f>VLOOKUP(R7,CList!A2:N1208,4,FALSE)</f>
        <v>#N/A</v>
      </c>
      <c r="AY9" s="653"/>
    </row>
    <row r="10" spans="1:51" x14ac:dyDescent="0.3">
      <c r="B10" s="391"/>
      <c r="D10" s="391"/>
      <c r="E10" s="636"/>
      <c r="F10" s="636"/>
      <c r="G10" s="636"/>
      <c r="H10" s="636"/>
      <c r="I10" s="636"/>
      <c r="J10" s="636"/>
      <c r="K10" s="636"/>
      <c r="L10" s="636"/>
      <c r="M10" s="636"/>
      <c r="N10" s="636"/>
      <c r="O10" s="636"/>
      <c r="P10" s="636"/>
      <c r="AW10" s="653" t="s">
        <v>2025</v>
      </c>
      <c r="AX10" s="653" t="e">
        <f>VLOOKUP(R7,CList!A2:N1208,5,FALSE)</f>
        <v>#N/A</v>
      </c>
      <c r="AY10" s="653"/>
    </row>
    <row r="11" spans="1:51" x14ac:dyDescent="0.3">
      <c r="A11" s="644"/>
      <c r="B11" s="391"/>
      <c r="D11" s="301" t="str">
        <f>IF(A12=1,"Must enter the YMCA association number for the program to operate correctly","")</f>
        <v/>
      </c>
      <c r="AW11" s="653" t="s">
        <v>3810</v>
      </c>
      <c r="AX11" s="654" t="e">
        <f>VLOOKUP(R7,CList!A2:N1208,6,FALSE)</f>
        <v>#N/A</v>
      </c>
      <c r="AY11" s="653"/>
    </row>
    <row r="12" spans="1:51" x14ac:dyDescent="0.3">
      <c r="A12" s="644"/>
      <c r="B12" s="391"/>
      <c r="C12" s="1"/>
      <c r="D12" s="1"/>
      <c r="E12" s="1"/>
      <c r="F12" s="11"/>
      <c r="G12" s="1"/>
      <c r="H12" s="1"/>
      <c r="I12" s="1"/>
      <c r="J12" s="1"/>
      <c r="K12" s="1"/>
      <c r="L12" s="1"/>
      <c r="M12" s="1"/>
      <c r="N12" s="1"/>
      <c r="O12" s="1"/>
      <c r="P12" s="1"/>
      <c r="Q12" s="1"/>
      <c r="R12" s="1"/>
      <c r="S12" s="1"/>
      <c r="T12" s="1"/>
      <c r="U12" s="1"/>
      <c r="V12" s="1"/>
      <c r="W12" s="1"/>
      <c r="X12" s="1"/>
      <c r="Y12" s="1"/>
      <c r="Z12" s="1"/>
      <c r="AA12" s="1"/>
      <c r="AB12" s="1"/>
      <c r="AC12" s="638"/>
      <c r="AD12" s="1"/>
      <c r="AE12" s="1"/>
      <c r="AF12" s="1"/>
      <c r="AG12" s="1"/>
      <c r="AH12" s="1"/>
      <c r="AI12" s="1"/>
      <c r="AJ12" s="1"/>
      <c r="AK12" s="1"/>
      <c r="AL12" s="1"/>
      <c r="AM12" s="1"/>
      <c r="AN12" s="1"/>
      <c r="AW12" s="653" t="s">
        <v>3811</v>
      </c>
      <c r="AX12" s="653" t="e">
        <f>VLOOKUP(R7,CList!A2:N1208,7,FALSE)</f>
        <v>#N/A</v>
      </c>
      <c r="AY12" s="653"/>
    </row>
    <row r="13" spans="1:51" x14ac:dyDescent="0.3">
      <c r="A13" s="639"/>
      <c r="B13" s="23"/>
      <c r="C13" s="596"/>
      <c r="D13" s="594"/>
      <c r="E13" s="23"/>
      <c r="F13" s="593" t="str">
        <f>IF(calculations!B3=1,"ORGANIZATION ","ASSOCIATION     ")</f>
        <v xml:space="preserve">ASSOCIATION     </v>
      </c>
      <c r="G13" s="673" t="str">
        <f>IF(ISNA(AX5),"",AX5)</f>
        <v/>
      </c>
      <c r="H13" s="674"/>
      <c r="I13" s="674"/>
      <c r="J13" s="674"/>
      <c r="K13" s="674"/>
      <c r="L13" s="674"/>
      <c r="M13" s="674"/>
      <c r="N13" s="674"/>
      <c r="O13" s="674"/>
      <c r="P13" s="674"/>
      <c r="Q13" s="674"/>
      <c r="R13" s="674"/>
      <c r="S13" s="674"/>
      <c r="T13" s="674"/>
      <c r="U13" s="674"/>
      <c r="V13" s="674"/>
      <c r="W13" s="674"/>
      <c r="X13" s="674"/>
      <c r="Y13" s="674"/>
      <c r="Z13" s="674"/>
      <c r="AA13" s="675"/>
      <c r="AB13" s="645" t="str">
        <f>IF(calculations!B3=3,"#","")</f>
        <v/>
      </c>
      <c r="AC13" s="685">
        <f>IF(R7&gt;0,R7,0)</f>
        <v>0</v>
      </c>
      <c r="AD13" s="686"/>
      <c r="AE13" s="687"/>
      <c r="AF13" s="23"/>
      <c r="AG13" s="671" t="str">
        <f>IF(ISNA(AX17),"TITLE",AX17)</f>
        <v>TITLE</v>
      </c>
      <c r="AH13" s="671"/>
      <c r="AI13" s="671"/>
      <c r="AJ13" s="679" t="str">
        <f>IF(ISNA(AX22),"",AX22)</f>
        <v/>
      </c>
      <c r="AK13" s="680"/>
      <c r="AL13" s="680"/>
      <c r="AM13" s="680"/>
      <c r="AN13" s="680"/>
      <c r="AO13" s="680"/>
      <c r="AP13" s="680"/>
      <c r="AQ13" s="680"/>
      <c r="AR13" s="681"/>
      <c r="AW13" s="653" t="s">
        <v>9144</v>
      </c>
      <c r="AX13" s="653" t="e">
        <f>VLOOKUP(R7,CList!A2:N1208,11,FALSE)</f>
        <v>#N/A</v>
      </c>
      <c r="AY13" s="653"/>
    </row>
    <row r="14" spans="1:51" ht="4.5" customHeight="1" x14ac:dyDescent="0.3">
      <c r="A14" s="4"/>
      <c r="B14" s="23"/>
      <c r="C14" s="12"/>
      <c r="D14" s="594"/>
      <c r="E14" s="23"/>
      <c r="F14" s="16"/>
      <c r="G14" s="600"/>
      <c r="H14" s="600"/>
      <c r="I14" s="600"/>
      <c r="J14" s="600"/>
      <c r="K14" s="600"/>
      <c r="L14" s="600"/>
      <c r="M14" s="600"/>
      <c r="N14" s="600"/>
      <c r="O14" s="600"/>
      <c r="P14" s="600"/>
      <c r="Q14" s="600"/>
      <c r="R14" s="600"/>
      <c r="S14" s="600"/>
      <c r="T14" s="600"/>
      <c r="U14" s="600"/>
      <c r="V14" s="600"/>
      <c r="W14" s="600"/>
      <c r="X14" s="600"/>
      <c r="Y14" s="600"/>
      <c r="Z14" s="600"/>
      <c r="AA14" s="600"/>
      <c r="AB14" s="601"/>
      <c r="AC14" s="601"/>
      <c r="AD14" s="601"/>
      <c r="AE14" s="601"/>
      <c r="AF14" s="16"/>
      <c r="AG14" s="602"/>
      <c r="AH14" s="602"/>
      <c r="AI14" s="602"/>
      <c r="AJ14" s="598"/>
      <c r="AK14" s="598"/>
      <c r="AL14" s="598"/>
      <c r="AM14" s="598"/>
      <c r="AN14" s="598"/>
      <c r="AO14" s="598"/>
      <c r="AP14" s="598"/>
      <c r="AQ14" s="598"/>
      <c r="AR14" s="598"/>
      <c r="AW14" s="653"/>
      <c r="AX14" s="653"/>
      <c r="AY14" s="653"/>
    </row>
    <row r="15" spans="1:51" x14ac:dyDescent="0.3">
      <c r="A15" s="4"/>
      <c r="B15" s="23"/>
      <c r="C15" s="596"/>
      <c r="D15" s="594"/>
      <c r="E15" s="593" t="s">
        <v>1960</v>
      </c>
      <c r="F15" s="16"/>
      <c r="G15" s="673" t="str">
        <f>IF(ISNA(AX7),"",AX7)</f>
        <v/>
      </c>
      <c r="H15" s="674"/>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5"/>
      <c r="AF15" s="23"/>
      <c r="AG15" s="671" t="s">
        <v>564</v>
      </c>
      <c r="AH15" s="671"/>
      <c r="AI15" s="671"/>
      <c r="AJ15" s="668"/>
      <c r="AK15" s="669"/>
      <c r="AL15" s="669"/>
      <c r="AM15" s="669"/>
      <c r="AN15" s="669"/>
      <c r="AO15" s="669"/>
      <c r="AP15" s="669"/>
      <c r="AQ15" s="669"/>
      <c r="AR15" s="670"/>
      <c r="AW15" s="653" t="s">
        <v>9145</v>
      </c>
      <c r="AX15" s="653" t="e">
        <f>VLOOKUP(R7,CList!A2:N1208,12,FALSE)</f>
        <v>#N/A</v>
      </c>
      <c r="AY15" s="653"/>
    </row>
    <row r="16" spans="1:51" ht="4.5" customHeight="1" x14ac:dyDescent="0.3">
      <c r="A16" s="4"/>
      <c r="B16" s="23"/>
      <c r="C16" s="596"/>
      <c r="D16" s="23"/>
      <c r="E16" s="597"/>
      <c r="F16" s="16"/>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23"/>
      <c r="AG16" s="23"/>
      <c r="AH16" s="23"/>
      <c r="AI16" s="23"/>
      <c r="AJ16" s="664"/>
      <c r="AK16" s="664"/>
      <c r="AL16" s="664"/>
      <c r="AM16" s="664"/>
      <c r="AN16" s="664"/>
      <c r="AO16" s="664"/>
      <c r="AP16" s="664"/>
      <c r="AQ16" s="664"/>
      <c r="AR16" s="664"/>
      <c r="AW16" s="653"/>
      <c r="AX16" s="653"/>
      <c r="AY16" s="653"/>
    </row>
    <row r="17" spans="1:51" x14ac:dyDescent="0.3">
      <c r="A17" s="4"/>
      <c r="B17" s="23"/>
      <c r="C17" s="596"/>
      <c r="D17" s="594"/>
      <c r="E17" s="593" t="s">
        <v>1961</v>
      </c>
      <c r="F17" s="16"/>
      <c r="G17" s="673" t="str">
        <f>IF(ISNA(AX23),"",AX23)</f>
        <v/>
      </c>
      <c r="H17" s="674"/>
      <c r="I17" s="674"/>
      <c r="J17" s="674"/>
      <c r="K17" s="674"/>
      <c r="L17" s="674"/>
      <c r="M17" s="674"/>
      <c r="N17" s="674"/>
      <c r="O17" s="674"/>
      <c r="P17" s="674"/>
      <c r="Q17" s="674"/>
      <c r="R17" s="674"/>
      <c r="S17" s="674"/>
      <c r="T17" s="674"/>
      <c r="U17" s="674"/>
      <c r="V17" s="674"/>
      <c r="W17" s="675"/>
      <c r="X17" s="14" t="s">
        <v>257</v>
      </c>
      <c r="Y17" s="603"/>
      <c r="Z17" s="673" t="str">
        <f>IF(ISNA(AX12),"",AX12)</f>
        <v/>
      </c>
      <c r="AA17" s="674"/>
      <c r="AB17" s="674"/>
      <c r="AC17" s="674"/>
      <c r="AD17" s="674"/>
      <c r="AE17" s="675"/>
      <c r="AF17" s="23"/>
      <c r="AG17" s="671" t="s">
        <v>564</v>
      </c>
      <c r="AH17" s="671"/>
      <c r="AI17" s="671"/>
      <c r="AJ17" s="668"/>
      <c r="AK17" s="669"/>
      <c r="AL17" s="669"/>
      <c r="AM17" s="669"/>
      <c r="AN17" s="669"/>
      <c r="AO17" s="669"/>
      <c r="AP17" s="669"/>
      <c r="AQ17" s="669"/>
      <c r="AR17" s="670"/>
      <c r="AW17" s="653" t="s">
        <v>3817</v>
      </c>
      <c r="AX17" s="653" t="e">
        <f>VLOOKUP(R7,CList!A2:N1208,13,FALSE)</f>
        <v>#N/A</v>
      </c>
      <c r="AY17" s="653"/>
    </row>
    <row r="18" spans="1:51" ht="4.5" customHeight="1" x14ac:dyDescent="0.3">
      <c r="A18" s="4"/>
      <c r="B18" s="23"/>
      <c r="C18" s="596"/>
      <c r="D18" s="23"/>
      <c r="E18" s="597"/>
      <c r="F18" s="16"/>
      <c r="G18" s="662"/>
      <c r="H18" s="662"/>
      <c r="I18" s="662"/>
      <c r="J18" s="662"/>
      <c r="K18" s="663"/>
      <c r="L18" s="663"/>
      <c r="M18" s="663"/>
      <c r="N18" s="663"/>
      <c r="O18" s="663"/>
      <c r="P18" s="663"/>
      <c r="Q18" s="663"/>
      <c r="R18" s="663"/>
      <c r="S18" s="663"/>
      <c r="T18" s="663"/>
      <c r="U18" s="663"/>
      <c r="V18" s="663"/>
      <c r="W18" s="663"/>
      <c r="X18" s="663"/>
      <c r="Y18" s="663"/>
      <c r="Z18" s="663"/>
      <c r="AA18" s="663"/>
      <c r="AB18" s="663"/>
      <c r="AC18" s="663"/>
      <c r="AD18" s="663"/>
      <c r="AE18" s="663"/>
      <c r="AF18" s="16"/>
      <c r="AG18" s="16"/>
      <c r="AH18" s="16"/>
      <c r="AI18" s="16"/>
      <c r="AJ18" s="664"/>
      <c r="AK18" s="664"/>
      <c r="AL18" s="664"/>
      <c r="AM18" s="664"/>
      <c r="AN18" s="664"/>
      <c r="AO18" s="664"/>
      <c r="AP18" s="664"/>
      <c r="AQ18" s="664"/>
      <c r="AR18" s="664"/>
      <c r="AW18" s="653"/>
      <c r="AX18" s="653"/>
      <c r="AY18" s="653"/>
    </row>
    <row r="19" spans="1:51" x14ac:dyDescent="0.3">
      <c r="A19" s="4"/>
      <c r="B19" s="23"/>
      <c r="C19" s="596"/>
      <c r="D19" s="23"/>
      <c r="E19" s="593" t="s">
        <v>1962</v>
      </c>
      <c r="F19" s="16"/>
      <c r="G19" s="665" t="str">
        <f>IF(ISNA(AX25),"",AX25)</f>
        <v/>
      </c>
      <c r="H19" s="666"/>
      <c r="I19" s="666"/>
      <c r="J19" s="667"/>
      <c r="K19" s="23"/>
      <c r="L19" s="12" t="s">
        <v>563</v>
      </c>
      <c r="M19" s="16"/>
      <c r="N19" s="16"/>
      <c r="O19" s="668"/>
      <c r="P19" s="669"/>
      <c r="Q19" s="669"/>
      <c r="R19" s="669"/>
      <c r="S19" s="669"/>
      <c r="T19" s="669"/>
      <c r="U19" s="669"/>
      <c r="V19" s="669"/>
      <c r="W19" s="669"/>
      <c r="X19" s="669"/>
      <c r="Y19" s="669"/>
      <c r="Z19" s="669"/>
      <c r="AA19" s="669"/>
      <c r="AB19" s="669"/>
      <c r="AC19" s="669"/>
      <c r="AD19" s="669"/>
      <c r="AE19" s="670"/>
      <c r="AF19" s="23"/>
      <c r="AG19" s="671" t="s">
        <v>564</v>
      </c>
      <c r="AH19" s="671"/>
      <c r="AI19" s="671"/>
      <c r="AJ19" s="672"/>
      <c r="AK19" s="669"/>
      <c r="AL19" s="669"/>
      <c r="AM19" s="669"/>
      <c r="AN19" s="669"/>
      <c r="AO19" s="669"/>
      <c r="AP19" s="669"/>
      <c r="AQ19" s="669"/>
      <c r="AR19" s="670"/>
      <c r="AW19" s="653" t="s">
        <v>3812</v>
      </c>
      <c r="AX19" s="653" t="e">
        <f>VLOOKUP(R7,CList!A2:N1208,8,FALSE)</f>
        <v>#N/A</v>
      </c>
      <c r="AY19" s="653"/>
    </row>
    <row r="20" spans="1:51" ht="4.5" customHeight="1" x14ac:dyDescent="0.3">
      <c r="A20" s="5"/>
      <c r="B20" s="16"/>
      <c r="C20" s="596"/>
      <c r="D20" s="16"/>
      <c r="E20" s="595"/>
      <c r="F20" s="16"/>
      <c r="G20" s="656"/>
      <c r="H20" s="656"/>
      <c r="I20" s="656"/>
      <c r="J20" s="656"/>
      <c r="K20" s="605"/>
      <c r="L20" s="605"/>
      <c r="M20" s="605"/>
      <c r="N20" s="605"/>
      <c r="O20" s="605"/>
      <c r="P20" s="605"/>
      <c r="Q20" s="605"/>
      <c r="R20" s="605"/>
      <c r="S20" s="605"/>
      <c r="T20" s="605"/>
      <c r="U20" s="16"/>
      <c r="V20" s="14"/>
      <c r="W20" s="14"/>
      <c r="X20" s="16"/>
      <c r="Y20" s="16"/>
      <c r="Z20" s="606"/>
      <c r="AA20" s="606"/>
      <c r="AB20" s="606"/>
      <c r="AC20" s="606"/>
      <c r="AD20" s="606"/>
      <c r="AE20" s="606"/>
      <c r="AF20" s="16"/>
      <c r="AG20" s="602"/>
      <c r="AH20" s="602"/>
      <c r="AI20" s="602"/>
      <c r="AJ20" s="614"/>
      <c r="AK20" s="614"/>
      <c r="AL20" s="614"/>
      <c r="AM20" s="614"/>
      <c r="AN20" s="614"/>
      <c r="AO20" s="614"/>
      <c r="AP20" s="614"/>
      <c r="AQ20" s="614"/>
      <c r="AR20" s="614"/>
      <c r="AW20" s="653"/>
      <c r="AX20" s="653"/>
      <c r="AY20" s="653"/>
    </row>
    <row r="21" spans="1:51" x14ac:dyDescent="0.3">
      <c r="A21" s="12"/>
      <c r="B21" s="12"/>
      <c r="C21" s="12"/>
      <c r="D21" s="12"/>
      <c r="E21" s="12"/>
      <c r="F21" s="12"/>
      <c r="G21" s="14"/>
      <c r="H21" s="14"/>
      <c r="I21" s="14"/>
      <c r="J21" s="14"/>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W21" s="653" t="s">
        <v>3813</v>
      </c>
      <c r="AX21" s="653" t="e">
        <f>VLOOKUP(R7,CList!A2:N1208,9,FALSE)</f>
        <v>#N/A</v>
      </c>
      <c r="AY21" s="653"/>
    </row>
    <row r="22" spans="1:51" x14ac:dyDescent="0.3">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W22" s="653" t="s">
        <v>3826</v>
      </c>
      <c r="AX22" s="653" t="e">
        <f>AX13 &amp;" " &amp; AX15</f>
        <v>#N/A</v>
      </c>
      <c r="AY22" s="653"/>
    </row>
    <row r="23" spans="1:51" x14ac:dyDescent="0.3">
      <c r="G23" s="659" t="str">
        <f>IF(calculations!B3&lt;3,"GO TO GL ASSESSMENT","")</f>
        <v>GO TO GL ASSESSMENT</v>
      </c>
      <c r="H23" s="660"/>
      <c r="I23" s="660"/>
      <c r="J23" s="660"/>
      <c r="K23" s="660"/>
      <c r="L23" s="660"/>
      <c r="M23" s="660"/>
      <c r="N23" s="660"/>
      <c r="O23" s="660"/>
      <c r="P23" s="661"/>
      <c r="AG23" s="659" t="str">
        <f>IF(calculations!B3=3,"GO TO CAMPING ASSESSMENT","")</f>
        <v/>
      </c>
      <c r="AH23" s="660"/>
      <c r="AI23" s="660"/>
      <c r="AJ23" s="660"/>
      <c r="AK23" s="660"/>
      <c r="AL23" s="660"/>
      <c r="AM23" s="660"/>
      <c r="AN23" s="660"/>
      <c r="AO23" s="660"/>
      <c r="AP23" s="660"/>
      <c r="AQ23" s="660"/>
      <c r="AR23" s="661"/>
      <c r="AW23" s="653" t="s">
        <v>9146</v>
      </c>
      <c r="AX23" s="653" t="e">
        <f>AX9 &amp;" " &amp;AX10 &amp;" " &amp;AX11</f>
        <v>#N/A</v>
      </c>
      <c r="AY23" s="653"/>
    </row>
    <row r="24" spans="1:51" x14ac:dyDescent="0.3">
      <c r="W24" s="81" t="s">
        <v>1965</v>
      </c>
      <c r="AW24" s="653" t="s">
        <v>9147</v>
      </c>
      <c r="AX24" s="654" t="e">
        <f>VLOOKUP(R7,CList!A2:N1208,10,FALSE)</f>
        <v>#N/A</v>
      </c>
      <c r="AY24" s="653" t="b">
        <f>ISNA(AX24)</f>
        <v>1</v>
      </c>
    </row>
    <row r="25" spans="1:51" x14ac:dyDescent="0.3">
      <c r="T25" s="659" t="s">
        <v>1963</v>
      </c>
      <c r="U25" s="660"/>
      <c r="V25" s="660"/>
      <c r="W25" s="660"/>
      <c r="X25" s="660"/>
      <c r="Y25" s="660"/>
      <c r="Z25" s="660"/>
      <c r="AA25" s="660"/>
      <c r="AB25" s="660"/>
      <c r="AC25" s="661"/>
      <c r="AW25" s="653" t="s">
        <v>3818</v>
      </c>
      <c r="AX25" s="654" t="e">
        <f>VLOOKUP(R7,CList!A2:N1208,14,FALSE)</f>
        <v>#N/A</v>
      </c>
      <c r="AY25" s="653"/>
    </row>
  </sheetData>
  <mergeCells count="25">
    <mergeCell ref="AO1:AR1"/>
    <mergeCell ref="G16:AE16"/>
    <mergeCell ref="AJ16:AR16"/>
    <mergeCell ref="AW3:AX3"/>
    <mergeCell ref="AC13:AE13"/>
    <mergeCell ref="Z17:AE17"/>
    <mergeCell ref="AG17:AI17"/>
    <mergeCell ref="AJ17:AR17"/>
    <mergeCell ref="G13:AA13"/>
    <mergeCell ref="R7:T7"/>
    <mergeCell ref="AG13:AI13"/>
    <mergeCell ref="AJ13:AR13"/>
    <mergeCell ref="G15:AE15"/>
    <mergeCell ref="AG15:AI15"/>
    <mergeCell ref="AJ15:AR15"/>
    <mergeCell ref="G17:W17"/>
    <mergeCell ref="T25:AC25"/>
    <mergeCell ref="G23:P23"/>
    <mergeCell ref="AG23:AR23"/>
    <mergeCell ref="G18:AE18"/>
    <mergeCell ref="AJ18:AR18"/>
    <mergeCell ref="G19:J19"/>
    <mergeCell ref="O19:AE19"/>
    <mergeCell ref="AG19:AI19"/>
    <mergeCell ref="AJ19:AR19"/>
  </mergeCells>
  <dataValidations count="1">
    <dataValidation type="date" allowBlank="1" showInputMessage="1" showErrorMessage="1" sqref="G19:J19">
      <formula1>21916</formula1>
      <formula2>55153</formula2>
    </dataValidation>
  </dataValidations>
  <hyperlinks>
    <hyperlink ref="G23:P23" location="ARA!A1" display="ARA!A1"/>
    <hyperlink ref="AG23:AR23" location="Camping!A1" display="Camping!A1"/>
    <hyperlink ref="T25:AC25" location="WC!A1" display="GO TO WC ASSESSMENT"/>
  </hyperlink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Option Button 1">
              <controlPr defaultSize="0" autoFill="0" autoLine="0" autoPict="0">
                <anchor moveWithCells="1">
                  <from>
                    <xdr:col>12</xdr:col>
                    <xdr:colOff>27214</xdr:colOff>
                    <xdr:row>2</xdr:row>
                    <xdr:rowOff>179614</xdr:rowOff>
                  </from>
                  <to>
                    <xdr:col>18</xdr:col>
                    <xdr:colOff>201386</xdr:colOff>
                    <xdr:row>6</xdr:row>
                    <xdr:rowOff>10886</xdr:rowOff>
                  </to>
                </anchor>
              </controlPr>
            </control>
          </mc:Choice>
        </mc:AlternateContent>
        <mc:AlternateContent xmlns:mc="http://schemas.openxmlformats.org/markup-compatibility/2006">
          <mc:Choice Requires="x14">
            <control shapeId="20482" r:id="rId5" name="Option Button 2">
              <controlPr defaultSize="0" autoFill="0" autoLine="0" autoPict="0">
                <anchor moveWithCells="1">
                  <from>
                    <xdr:col>22</xdr:col>
                    <xdr:colOff>152400</xdr:colOff>
                    <xdr:row>3</xdr:row>
                    <xdr:rowOff>27214</xdr:rowOff>
                  </from>
                  <to>
                    <xdr:col>30</xdr:col>
                    <xdr:colOff>48986</xdr:colOff>
                    <xdr:row>5</xdr:row>
                    <xdr:rowOff>48986</xdr:rowOff>
                  </to>
                </anchor>
              </controlPr>
            </control>
          </mc:Choice>
        </mc:AlternateContent>
        <mc:AlternateContent xmlns:mc="http://schemas.openxmlformats.org/markup-compatibility/2006">
          <mc:Choice Requires="x14">
            <control shapeId="20483" r:id="rId6" name="Option Button 3">
              <controlPr defaultSize="0" autoFill="0" autoLine="0" autoPict="0">
                <anchor moveWithCells="1">
                  <from>
                    <xdr:col>33</xdr:col>
                    <xdr:colOff>103414</xdr:colOff>
                    <xdr:row>3</xdr:row>
                    <xdr:rowOff>27214</xdr:rowOff>
                  </from>
                  <to>
                    <xdr:col>41</xdr:col>
                    <xdr:colOff>65314</xdr:colOff>
                    <xdr:row>5</xdr:row>
                    <xdr:rowOff>27214</xdr:rowOff>
                  </to>
                </anchor>
              </controlPr>
            </control>
          </mc:Choice>
        </mc:AlternateContent>
        <mc:AlternateContent xmlns:mc="http://schemas.openxmlformats.org/markup-compatibility/2006">
          <mc:Choice Requires="x14">
            <control shapeId="20484" r:id="rId7" name="Group Box 4">
              <controlPr defaultSize="0" autoFill="0" autoPict="0">
                <anchor moveWithCells="1">
                  <from>
                    <xdr:col>9</xdr:col>
                    <xdr:colOff>87086</xdr:colOff>
                    <xdr:row>2</xdr:row>
                    <xdr:rowOff>141514</xdr:rowOff>
                  </from>
                  <to>
                    <xdr:col>43</xdr:col>
                    <xdr:colOff>114300</xdr:colOff>
                    <xdr:row>6</xdr:row>
                    <xdr:rowOff>27214</xdr:rowOff>
                  </to>
                </anchor>
              </controlPr>
            </control>
          </mc:Choice>
        </mc:AlternateContent>
        <mc:AlternateContent xmlns:mc="http://schemas.openxmlformats.org/markup-compatibility/2006">
          <mc:Choice Requires="x14">
            <control shapeId="20492" r:id="rId8" name="Group Box 12">
              <controlPr defaultSize="0" autoFill="0" autoPict="0">
                <anchor moveWithCells="1">
                  <from>
                    <xdr:col>19</xdr:col>
                    <xdr:colOff>87086</xdr:colOff>
                    <xdr:row>9</xdr:row>
                    <xdr:rowOff>0</xdr:rowOff>
                  </from>
                  <to>
                    <xdr:col>26</xdr:col>
                    <xdr:colOff>76200</xdr:colOff>
                    <xdr:row>10</xdr:row>
                    <xdr:rowOff>190500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585"/>
  <sheetViews>
    <sheetView workbookViewId="0">
      <pane ySplit="1" topLeftCell="A2" activePane="bottomLeft" state="frozen"/>
      <selection pane="bottomLeft" sqref="A1:XFD1048576"/>
    </sheetView>
  </sheetViews>
  <sheetFormatPr defaultColWidth="8.84375" defaultRowHeight="12.9" x14ac:dyDescent="0.35"/>
  <cols>
    <col min="1" max="1" width="7.4609375" customWidth="1"/>
    <col min="2" max="2" width="28.3046875" customWidth="1"/>
    <col min="10" max="10" width="10" bestFit="1" customWidth="1"/>
    <col min="11" max="11" width="17.4609375" style="651" customWidth="1"/>
    <col min="12" max="12" width="14" style="651" customWidth="1"/>
    <col min="13" max="14" width="21.3046875" style="651" customWidth="1"/>
  </cols>
  <sheetData>
    <row r="1" spans="1:14" x14ac:dyDescent="0.35">
      <c r="A1" s="646" t="s">
        <v>3807</v>
      </c>
      <c r="B1" s="646" t="s">
        <v>3808</v>
      </c>
      <c r="C1" s="646" t="s">
        <v>3809</v>
      </c>
      <c r="D1" s="646" t="s">
        <v>2024</v>
      </c>
      <c r="E1" s="646" t="s">
        <v>2025</v>
      </c>
      <c r="F1" s="646" t="s">
        <v>3810</v>
      </c>
      <c r="G1" s="646" t="s">
        <v>3811</v>
      </c>
      <c r="H1" s="646" t="s">
        <v>3812</v>
      </c>
      <c r="I1" s="646" t="s">
        <v>3813</v>
      </c>
      <c r="J1" s="646" t="s">
        <v>3814</v>
      </c>
      <c r="K1" s="646" t="s">
        <v>3815</v>
      </c>
      <c r="L1" s="646" t="s">
        <v>3816</v>
      </c>
      <c r="M1" s="646" t="s">
        <v>3817</v>
      </c>
      <c r="N1" s="646" t="s">
        <v>3818</v>
      </c>
    </row>
    <row r="2" spans="1:14" x14ac:dyDescent="0.35">
      <c r="A2" s="647">
        <v>4</v>
      </c>
      <c r="B2" s="647" t="s">
        <v>3819</v>
      </c>
      <c r="C2" s="647" t="s">
        <v>3820</v>
      </c>
      <c r="D2" s="647" t="s">
        <v>2028</v>
      </c>
      <c r="E2" s="647" t="s">
        <v>2029</v>
      </c>
      <c r="F2" s="647">
        <v>36202</v>
      </c>
      <c r="G2" s="647" t="s">
        <v>3821</v>
      </c>
      <c r="H2" s="647" t="s">
        <v>3822</v>
      </c>
      <c r="I2" s="647" t="s">
        <v>3823</v>
      </c>
      <c r="J2" s="647">
        <v>961074</v>
      </c>
      <c r="K2" s="647" t="s">
        <v>3824</v>
      </c>
      <c r="L2" s="647" t="s">
        <v>3825</v>
      </c>
      <c r="M2" s="647" t="s">
        <v>3826</v>
      </c>
      <c r="N2" s="648">
        <v>40447</v>
      </c>
    </row>
    <row r="3" spans="1:14" x14ac:dyDescent="0.35">
      <c r="A3" s="647">
        <v>8</v>
      </c>
      <c r="B3" s="647" t="s">
        <v>3827</v>
      </c>
      <c r="C3" s="647" t="s">
        <v>3828</v>
      </c>
      <c r="D3" s="647" t="s">
        <v>2031</v>
      </c>
      <c r="E3" s="647" t="s">
        <v>2029</v>
      </c>
      <c r="F3" s="647">
        <v>35022</v>
      </c>
      <c r="G3" s="647" t="s">
        <v>3829</v>
      </c>
      <c r="H3" s="647" t="s">
        <v>3822</v>
      </c>
      <c r="I3" s="647" t="s">
        <v>3823</v>
      </c>
      <c r="J3" s="647">
        <v>1791178</v>
      </c>
      <c r="K3" s="647" t="s">
        <v>3830</v>
      </c>
      <c r="L3" s="647" t="s">
        <v>3831</v>
      </c>
      <c r="M3" s="647" t="s">
        <v>3826</v>
      </c>
      <c r="N3" s="648">
        <v>40269</v>
      </c>
    </row>
    <row r="4" spans="1:14" x14ac:dyDescent="0.35">
      <c r="A4" s="647">
        <v>12</v>
      </c>
      <c r="B4" s="647" t="s">
        <v>3832</v>
      </c>
      <c r="C4" s="647" t="s">
        <v>3833</v>
      </c>
      <c r="D4" s="647" t="s">
        <v>2033</v>
      </c>
      <c r="E4" s="647" t="s">
        <v>2029</v>
      </c>
      <c r="F4" s="647">
        <v>35203</v>
      </c>
      <c r="G4" s="647" t="s">
        <v>3834</v>
      </c>
      <c r="H4" s="647" t="s">
        <v>3822</v>
      </c>
      <c r="I4" s="647" t="s">
        <v>3823</v>
      </c>
      <c r="J4" s="647">
        <v>25071637</v>
      </c>
      <c r="K4" s="647" t="s">
        <v>3835</v>
      </c>
      <c r="L4" s="647" t="s">
        <v>2394</v>
      </c>
      <c r="M4" s="647" t="s">
        <v>3836</v>
      </c>
      <c r="N4" s="648">
        <v>40483</v>
      </c>
    </row>
    <row r="5" spans="1:14" x14ac:dyDescent="0.35">
      <c r="A5" s="647">
        <v>51</v>
      </c>
      <c r="B5" s="647" t="s">
        <v>3837</v>
      </c>
      <c r="C5" s="647" t="s">
        <v>3838</v>
      </c>
      <c r="D5" s="647" t="s">
        <v>2035</v>
      </c>
      <c r="E5" s="647" t="s">
        <v>2029</v>
      </c>
      <c r="F5" s="647">
        <v>36331</v>
      </c>
      <c r="G5" s="647" t="s">
        <v>3839</v>
      </c>
      <c r="H5" s="649"/>
      <c r="I5" s="649"/>
      <c r="J5" s="647">
        <v>1009138</v>
      </c>
      <c r="K5" s="647" t="s">
        <v>3840</v>
      </c>
      <c r="L5" s="647" t="s">
        <v>3841</v>
      </c>
      <c r="M5" s="647" t="s">
        <v>3826</v>
      </c>
      <c r="N5" s="648" t="e">
        <v>#N/A</v>
      </c>
    </row>
    <row r="6" spans="1:14" x14ac:dyDescent="0.35">
      <c r="A6" s="647">
        <v>52</v>
      </c>
      <c r="B6" s="647" t="s">
        <v>3842</v>
      </c>
      <c r="C6" s="647" t="s">
        <v>3843</v>
      </c>
      <c r="D6" s="647" t="s">
        <v>2037</v>
      </c>
      <c r="E6" s="647" t="s">
        <v>2029</v>
      </c>
      <c r="F6" s="647">
        <v>35630</v>
      </c>
      <c r="G6" s="647" t="s">
        <v>3844</v>
      </c>
      <c r="H6" s="647" t="s">
        <v>3822</v>
      </c>
      <c r="I6" s="647" t="s">
        <v>3823</v>
      </c>
      <c r="J6" s="647">
        <v>2035527</v>
      </c>
      <c r="K6" s="647" t="s">
        <v>3845</v>
      </c>
      <c r="L6" s="647" t="s">
        <v>3846</v>
      </c>
      <c r="M6" s="647" t="s">
        <v>3826</v>
      </c>
      <c r="N6" s="648">
        <v>40178</v>
      </c>
    </row>
    <row r="7" spans="1:14" x14ac:dyDescent="0.35">
      <c r="A7" s="647">
        <v>56</v>
      </c>
      <c r="B7" s="647" t="s">
        <v>3847</v>
      </c>
      <c r="C7" s="647" t="s">
        <v>3848</v>
      </c>
      <c r="D7" s="647" t="s">
        <v>2039</v>
      </c>
      <c r="E7" s="647" t="s">
        <v>2029</v>
      </c>
      <c r="F7" s="647">
        <v>35901</v>
      </c>
      <c r="G7" s="647" t="s">
        <v>3849</v>
      </c>
      <c r="H7" s="647" t="s">
        <v>3822</v>
      </c>
      <c r="I7" s="647" t="s">
        <v>3823</v>
      </c>
      <c r="J7" s="647">
        <v>779808</v>
      </c>
      <c r="K7" s="647" t="s">
        <v>3850</v>
      </c>
      <c r="L7" s="647" t="s">
        <v>3851</v>
      </c>
      <c r="M7" s="647" t="s">
        <v>3826</v>
      </c>
      <c r="N7" s="648">
        <v>40286</v>
      </c>
    </row>
    <row r="8" spans="1:14" x14ac:dyDescent="0.35">
      <c r="A8" s="647">
        <v>64</v>
      </c>
      <c r="B8" s="647" t="s">
        <v>3852</v>
      </c>
      <c r="C8" s="647" t="s">
        <v>3853</v>
      </c>
      <c r="D8" s="647" t="s">
        <v>2041</v>
      </c>
      <c r="E8" s="647" t="s">
        <v>2029</v>
      </c>
      <c r="F8" s="647">
        <v>35801</v>
      </c>
      <c r="G8" s="647" t="s">
        <v>3854</v>
      </c>
      <c r="H8" s="647" t="s">
        <v>3822</v>
      </c>
      <c r="I8" s="647" t="s">
        <v>3823</v>
      </c>
      <c r="J8" s="647">
        <v>3943834</v>
      </c>
      <c r="K8" s="647" t="s">
        <v>3855</v>
      </c>
      <c r="L8" s="647" t="s">
        <v>3856</v>
      </c>
      <c r="M8" s="647" t="s">
        <v>3826</v>
      </c>
      <c r="N8" s="648">
        <v>40360</v>
      </c>
    </row>
    <row r="9" spans="1:14" x14ac:dyDescent="0.35">
      <c r="A9" s="647">
        <v>97</v>
      </c>
      <c r="B9" s="647" t="s">
        <v>3857</v>
      </c>
      <c r="C9" s="647" t="s">
        <v>3858</v>
      </c>
      <c r="D9" s="647" t="s">
        <v>2043</v>
      </c>
      <c r="E9" s="647" t="s">
        <v>2029</v>
      </c>
      <c r="F9" s="647">
        <v>36691</v>
      </c>
      <c r="G9" s="647" t="s">
        <v>3859</v>
      </c>
      <c r="H9" s="647" t="s">
        <v>3822</v>
      </c>
      <c r="I9" s="647" t="s">
        <v>3823</v>
      </c>
      <c r="J9" s="647">
        <v>6960890</v>
      </c>
      <c r="K9" s="647" t="s">
        <v>3860</v>
      </c>
      <c r="L9" s="647" t="s">
        <v>3861</v>
      </c>
      <c r="M9" s="647" t="s">
        <v>3826</v>
      </c>
      <c r="N9" s="648">
        <v>40210</v>
      </c>
    </row>
    <row r="10" spans="1:14" x14ac:dyDescent="0.35">
      <c r="A10" s="647">
        <v>100</v>
      </c>
      <c r="B10" s="647" t="s">
        <v>3862</v>
      </c>
      <c r="C10" s="647" t="s">
        <v>3863</v>
      </c>
      <c r="D10" s="647" t="s">
        <v>2043</v>
      </c>
      <c r="E10" s="647" t="s">
        <v>2029</v>
      </c>
      <c r="F10" s="647">
        <v>36603</v>
      </c>
      <c r="G10" s="647" t="s">
        <v>3864</v>
      </c>
      <c r="H10" s="647" t="s">
        <v>3822</v>
      </c>
      <c r="I10" s="647" t="s">
        <v>3823</v>
      </c>
      <c r="J10" s="647">
        <v>1060678</v>
      </c>
      <c r="K10" s="647" t="s">
        <v>3865</v>
      </c>
      <c r="L10" s="647" t="s">
        <v>3866</v>
      </c>
      <c r="M10" s="647" t="s">
        <v>3826</v>
      </c>
      <c r="N10" s="648">
        <v>40436</v>
      </c>
    </row>
    <row r="11" spans="1:14" x14ac:dyDescent="0.35">
      <c r="A11" s="647">
        <v>101</v>
      </c>
      <c r="B11" s="647" t="s">
        <v>3867</v>
      </c>
      <c r="C11" s="647" t="s">
        <v>3868</v>
      </c>
      <c r="D11" s="647" t="s">
        <v>2046</v>
      </c>
      <c r="E11" s="647" t="s">
        <v>2029</v>
      </c>
      <c r="F11" s="647">
        <v>36460</v>
      </c>
      <c r="G11" s="647" t="s">
        <v>3869</v>
      </c>
      <c r="H11" s="647" t="s">
        <v>3822</v>
      </c>
      <c r="I11" s="647" t="s">
        <v>3823</v>
      </c>
      <c r="J11" s="647">
        <v>485334</v>
      </c>
      <c r="K11" s="647" t="s">
        <v>3870</v>
      </c>
      <c r="L11" s="647" t="s">
        <v>3871</v>
      </c>
      <c r="M11" s="647" t="s">
        <v>3826</v>
      </c>
      <c r="N11" s="648">
        <v>40210</v>
      </c>
    </row>
    <row r="12" spans="1:14" x14ac:dyDescent="0.35">
      <c r="A12" s="647">
        <v>102</v>
      </c>
      <c r="B12" s="647" t="s">
        <v>3872</v>
      </c>
      <c r="C12" s="647" t="s">
        <v>3873</v>
      </c>
      <c r="D12" s="647" t="s">
        <v>2048</v>
      </c>
      <c r="E12" s="647" t="s">
        <v>2029</v>
      </c>
      <c r="F12" s="647">
        <v>36502</v>
      </c>
      <c r="G12" s="647" t="s">
        <v>3874</v>
      </c>
      <c r="H12" s="647" t="s">
        <v>3822</v>
      </c>
      <c r="I12" s="647" t="s">
        <v>3823</v>
      </c>
      <c r="J12" s="647">
        <v>358202</v>
      </c>
      <c r="K12" s="647" t="s">
        <v>3875</v>
      </c>
      <c r="L12" s="647" t="s">
        <v>3876</v>
      </c>
      <c r="M12" s="647" t="s">
        <v>3826</v>
      </c>
      <c r="N12" s="648">
        <v>40179</v>
      </c>
    </row>
    <row r="13" spans="1:14" x14ac:dyDescent="0.35">
      <c r="A13" s="647">
        <v>103</v>
      </c>
      <c r="B13" s="647" t="s">
        <v>3877</v>
      </c>
      <c r="C13" s="647" t="s">
        <v>3878</v>
      </c>
      <c r="D13" s="647" t="s">
        <v>2050</v>
      </c>
      <c r="E13" s="647" t="s">
        <v>2029</v>
      </c>
      <c r="F13" s="647">
        <v>36426</v>
      </c>
      <c r="G13" s="647" t="s">
        <v>3879</v>
      </c>
      <c r="H13" s="647" t="s">
        <v>3822</v>
      </c>
      <c r="I13" s="647" t="s">
        <v>3823</v>
      </c>
      <c r="J13" s="647">
        <v>1228278</v>
      </c>
      <c r="K13" s="647" t="s">
        <v>3880</v>
      </c>
      <c r="L13" s="647" t="s">
        <v>3881</v>
      </c>
      <c r="M13" s="647" t="s">
        <v>3826</v>
      </c>
      <c r="N13" s="648">
        <v>40299</v>
      </c>
    </row>
    <row r="14" spans="1:14" x14ac:dyDescent="0.35">
      <c r="A14" s="647">
        <v>104</v>
      </c>
      <c r="B14" s="647" t="s">
        <v>3882</v>
      </c>
      <c r="C14" s="647" t="s">
        <v>3883</v>
      </c>
      <c r="D14" s="647" t="s">
        <v>2052</v>
      </c>
      <c r="E14" s="647" t="s">
        <v>2029</v>
      </c>
      <c r="F14" s="647">
        <v>36102</v>
      </c>
      <c r="G14" s="647" t="s">
        <v>3884</v>
      </c>
      <c r="H14" s="647" t="s">
        <v>3822</v>
      </c>
      <c r="I14" s="647" t="s">
        <v>3823</v>
      </c>
      <c r="J14" s="647">
        <v>15425467</v>
      </c>
      <c r="K14" s="647" t="s">
        <v>3885</v>
      </c>
      <c r="L14" s="647" t="s">
        <v>3886</v>
      </c>
      <c r="M14" s="647" t="s">
        <v>3826</v>
      </c>
      <c r="N14" s="648">
        <v>40452</v>
      </c>
    </row>
    <row r="15" spans="1:14" x14ac:dyDescent="0.35">
      <c r="A15" s="647">
        <v>124</v>
      </c>
      <c r="B15" s="647" t="s">
        <v>3887</v>
      </c>
      <c r="C15" s="647" t="s">
        <v>3888</v>
      </c>
      <c r="D15" s="647" t="s">
        <v>2054</v>
      </c>
      <c r="E15" s="647" t="s">
        <v>2029</v>
      </c>
      <c r="F15" s="647">
        <v>36068</v>
      </c>
      <c r="G15" s="647" t="s">
        <v>3889</v>
      </c>
      <c r="H15" s="647" t="s">
        <v>3822</v>
      </c>
      <c r="I15" s="647" t="s">
        <v>3823</v>
      </c>
      <c r="J15" s="647">
        <v>3739128</v>
      </c>
      <c r="K15" s="647" t="s">
        <v>3890</v>
      </c>
      <c r="L15" s="647" t="s">
        <v>3891</v>
      </c>
      <c r="M15" s="647" t="s">
        <v>3892</v>
      </c>
      <c r="N15" s="648" t="e">
        <v>#N/A</v>
      </c>
    </row>
    <row r="16" spans="1:14" x14ac:dyDescent="0.35">
      <c r="A16" s="647">
        <v>125</v>
      </c>
      <c r="B16" s="647" t="s">
        <v>3893</v>
      </c>
      <c r="C16" s="647" t="s">
        <v>3894</v>
      </c>
      <c r="D16" s="647" t="s">
        <v>2858</v>
      </c>
      <c r="E16" s="647" t="s">
        <v>2029</v>
      </c>
      <c r="F16" s="647">
        <v>36037</v>
      </c>
      <c r="G16" s="647" t="s">
        <v>3895</v>
      </c>
      <c r="H16" s="647" t="s">
        <v>3822</v>
      </c>
      <c r="I16" s="647" t="s">
        <v>3823</v>
      </c>
      <c r="J16" s="647"/>
      <c r="K16" s="647" t="s">
        <v>3896</v>
      </c>
      <c r="L16" s="647" t="s">
        <v>3897</v>
      </c>
      <c r="M16" s="647" t="s">
        <v>3826</v>
      </c>
      <c r="N16" s="648">
        <v>40452</v>
      </c>
    </row>
    <row r="17" spans="1:14" x14ac:dyDescent="0.35">
      <c r="A17" s="647">
        <v>126</v>
      </c>
      <c r="B17" s="647" t="s">
        <v>3898</v>
      </c>
      <c r="C17" s="647" t="s">
        <v>3899</v>
      </c>
      <c r="D17" s="647" t="s">
        <v>2056</v>
      </c>
      <c r="E17" s="647" t="s">
        <v>2029</v>
      </c>
      <c r="F17" s="647">
        <v>35045</v>
      </c>
      <c r="G17" s="647" t="s">
        <v>3900</v>
      </c>
      <c r="H17" s="647" t="s">
        <v>3822</v>
      </c>
      <c r="I17" s="647" t="s">
        <v>3823</v>
      </c>
      <c r="J17" s="647">
        <v>520980</v>
      </c>
      <c r="K17" s="647" t="s">
        <v>3901</v>
      </c>
      <c r="L17" s="647" t="s">
        <v>3902</v>
      </c>
      <c r="M17" s="647" t="s">
        <v>3826</v>
      </c>
      <c r="N17" s="648">
        <v>40360</v>
      </c>
    </row>
    <row r="18" spans="1:14" x14ac:dyDescent="0.35">
      <c r="A18" s="647">
        <v>132</v>
      </c>
      <c r="B18" s="647" t="s">
        <v>3903</v>
      </c>
      <c r="C18" s="647" t="s">
        <v>3904</v>
      </c>
      <c r="D18" s="647" t="s">
        <v>2058</v>
      </c>
      <c r="E18" s="647" t="s">
        <v>2029</v>
      </c>
      <c r="F18" s="647">
        <v>36701</v>
      </c>
      <c r="G18" s="647" t="s">
        <v>3905</v>
      </c>
      <c r="H18" s="647" t="s">
        <v>3822</v>
      </c>
      <c r="I18" s="647" t="s">
        <v>3823</v>
      </c>
      <c r="J18" s="647"/>
      <c r="K18" s="647" t="s">
        <v>3906</v>
      </c>
      <c r="L18" s="647" t="s">
        <v>3907</v>
      </c>
      <c r="M18" s="647" t="s">
        <v>3908</v>
      </c>
      <c r="N18" s="648">
        <v>40391</v>
      </c>
    </row>
    <row r="19" spans="1:14" x14ac:dyDescent="0.35">
      <c r="A19" s="647">
        <v>140</v>
      </c>
      <c r="B19" s="647" t="s">
        <v>3909</v>
      </c>
      <c r="C19" s="647" t="s">
        <v>3910</v>
      </c>
      <c r="D19" s="647" t="s">
        <v>2061</v>
      </c>
      <c r="E19" s="647" t="s">
        <v>2029</v>
      </c>
      <c r="F19" s="647">
        <v>28560</v>
      </c>
      <c r="G19" s="647" t="s">
        <v>3911</v>
      </c>
      <c r="H19" s="647" t="s">
        <v>3822</v>
      </c>
      <c r="I19" s="647" t="s">
        <v>3823</v>
      </c>
      <c r="J19" s="647">
        <v>1542495</v>
      </c>
      <c r="K19" s="647" t="s">
        <v>3912</v>
      </c>
      <c r="L19" s="647" t="s">
        <v>3913</v>
      </c>
      <c r="M19" s="647" t="s">
        <v>3826</v>
      </c>
      <c r="N19" s="648">
        <v>40268</v>
      </c>
    </row>
    <row r="20" spans="1:14" x14ac:dyDescent="0.35">
      <c r="A20" s="647">
        <v>153</v>
      </c>
      <c r="B20" s="647" t="s">
        <v>3914</v>
      </c>
      <c r="C20" s="647" t="s">
        <v>3915</v>
      </c>
      <c r="D20" s="647" t="s">
        <v>2063</v>
      </c>
      <c r="E20" s="647" t="s">
        <v>2064</v>
      </c>
      <c r="F20" s="647">
        <v>99507</v>
      </c>
      <c r="G20" s="647" t="s">
        <v>3916</v>
      </c>
      <c r="H20" s="647" t="s">
        <v>3917</v>
      </c>
      <c r="I20" s="647" t="s">
        <v>3823</v>
      </c>
      <c r="J20" s="647">
        <v>2551900</v>
      </c>
      <c r="K20" s="647" t="s">
        <v>3918</v>
      </c>
      <c r="L20" s="647" t="s">
        <v>3919</v>
      </c>
      <c r="M20" s="647" t="s">
        <v>3920</v>
      </c>
      <c r="N20" s="648">
        <v>40452</v>
      </c>
    </row>
    <row r="21" spans="1:14" x14ac:dyDescent="0.35">
      <c r="A21" s="647">
        <v>160</v>
      </c>
      <c r="B21" s="647" t="s">
        <v>3921</v>
      </c>
      <c r="C21" s="647" t="s">
        <v>3922</v>
      </c>
      <c r="D21" s="647" t="s">
        <v>2066</v>
      </c>
      <c r="E21" s="647" t="s">
        <v>2067</v>
      </c>
      <c r="F21" s="647">
        <v>85003</v>
      </c>
      <c r="G21" s="647" t="s">
        <v>3923</v>
      </c>
      <c r="H21" s="647" t="s">
        <v>3924</v>
      </c>
      <c r="I21" s="647" t="s">
        <v>3925</v>
      </c>
      <c r="J21" s="647">
        <v>37839556</v>
      </c>
      <c r="K21" s="647" t="s">
        <v>3926</v>
      </c>
      <c r="L21" s="647" t="s">
        <v>3927</v>
      </c>
      <c r="M21" s="647" t="s">
        <v>3826</v>
      </c>
      <c r="N21" s="648">
        <v>40178</v>
      </c>
    </row>
    <row r="22" spans="1:14" x14ac:dyDescent="0.35">
      <c r="A22" s="647">
        <v>189</v>
      </c>
      <c r="B22" s="647" t="s">
        <v>3928</v>
      </c>
      <c r="C22" s="647" t="s">
        <v>3929</v>
      </c>
      <c r="D22" s="647" t="s">
        <v>2069</v>
      </c>
      <c r="E22" s="647" t="s">
        <v>2067</v>
      </c>
      <c r="F22" s="647">
        <v>86301</v>
      </c>
      <c r="G22" s="647" t="s">
        <v>3930</v>
      </c>
      <c r="H22" s="647" t="s">
        <v>3931</v>
      </c>
      <c r="I22" s="647" t="s">
        <v>3925</v>
      </c>
      <c r="J22" s="647">
        <v>3107877</v>
      </c>
      <c r="K22" s="647" t="s">
        <v>3932</v>
      </c>
      <c r="L22" s="647" t="s">
        <v>3933</v>
      </c>
      <c r="M22" s="647" t="s">
        <v>3826</v>
      </c>
      <c r="N22" s="648">
        <v>40360</v>
      </c>
    </row>
    <row r="23" spans="1:14" x14ac:dyDescent="0.35">
      <c r="A23" s="647">
        <v>192</v>
      </c>
      <c r="B23" s="647" t="s">
        <v>3934</v>
      </c>
      <c r="C23" s="647" t="s">
        <v>3935</v>
      </c>
      <c r="D23" s="647" t="s">
        <v>2071</v>
      </c>
      <c r="E23" s="647" t="s">
        <v>2067</v>
      </c>
      <c r="F23" s="647">
        <v>85702</v>
      </c>
      <c r="G23" s="647" t="s">
        <v>3936</v>
      </c>
      <c r="H23" s="647" t="s">
        <v>3924</v>
      </c>
      <c r="I23" s="647" t="s">
        <v>3937</v>
      </c>
      <c r="J23" s="647">
        <v>11738833</v>
      </c>
      <c r="K23" s="647" t="s">
        <v>3938</v>
      </c>
      <c r="L23" s="647" t="s">
        <v>3939</v>
      </c>
      <c r="M23" s="647" t="s">
        <v>3826</v>
      </c>
      <c r="N23" s="648">
        <v>40178</v>
      </c>
    </row>
    <row r="24" spans="1:14" x14ac:dyDescent="0.35">
      <c r="A24" s="647">
        <v>208</v>
      </c>
      <c r="B24" s="647" t="s">
        <v>3940</v>
      </c>
      <c r="C24" s="647" t="s">
        <v>3941</v>
      </c>
      <c r="D24" s="647" t="s">
        <v>3942</v>
      </c>
      <c r="E24" s="647" t="s">
        <v>2074</v>
      </c>
      <c r="F24" s="647">
        <v>72315</v>
      </c>
      <c r="G24" s="647" t="s">
        <v>3943</v>
      </c>
      <c r="H24" s="647" t="s">
        <v>3944</v>
      </c>
      <c r="I24" s="649"/>
      <c r="J24" s="647"/>
      <c r="K24" s="647" t="s">
        <v>3945</v>
      </c>
      <c r="L24" s="647" t="s">
        <v>3946</v>
      </c>
      <c r="M24" s="647" t="s">
        <v>3826</v>
      </c>
      <c r="N24" s="648" t="e">
        <v>#N/A</v>
      </c>
    </row>
    <row r="25" spans="1:14" x14ac:dyDescent="0.35">
      <c r="A25" s="647">
        <v>212</v>
      </c>
      <c r="B25" s="647" t="s">
        <v>3947</v>
      </c>
      <c r="C25" s="647" t="s">
        <v>3948</v>
      </c>
      <c r="D25" s="647" t="s">
        <v>2073</v>
      </c>
      <c r="E25" s="647" t="s">
        <v>2074</v>
      </c>
      <c r="F25" s="647">
        <v>71913</v>
      </c>
      <c r="G25" s="647" t="s">
        <v>3949</v>
      </c>
      <c r="H25" s="647" t="s">
        <v>3944</v>
      </c>
      <c r="I25" s="647" t="s">
        <v>3823</v>
      </c>
      <c r="J25" s="647">
        <v>1296479</v>
      </c>
      <c r="K25" s="647" t="s">
        <v>3950</v>
      </c>
      <c r="L25" s="647" t="s">
        <v>3951</v>
      </c>
      <c r="M25" s="647" t="s">
        <v>3952</v>
      </c>
      <c r="N25" s="648">
        <v>40377</v>
      </c>
    </row>
    <row r="26" spans="1:14" x14ac:dyDescent="0.35">
      <c r="A26" s="647">
        <v>216</v>
      </c>
      <c r="B26" s="647" t="s">
        <v>3953</v>
      </c>
      <c r="C26" s="647" t="s">
        <v>3954</v>
      </c>
      <c r="D26" s="647" t="s">
        <v>2076</v>
      </c>
      <c r="E26" s="647" t="s">
        <v>2074</v>
      </c>
      <c r="F26" s="647">
        <v>72401</v>
      </c>
      <c r="G26" s="647" t="s">
        <v>3955</v>
      </c>
      <c r="H26" s="647" t="s">
        <v>3944</v>
      </c>
      <c r="I26" s="649"/>
      <c r="J26" s="647">
        <v>617723</v>
      </c>
      <c r="K26" s="647" t="s">
        <v>3956</v>
      </c>
      <c r="L26" s="647" t="s">
        <v>3957</v>
      </c>
      <c r="M26" s="647" t="s">
        <v>3826</v>
      </c>
      <c r="N26" s="648" t="e">
        <v>#N/A</v>
      </c>
    </row>
    <row r="27" spans="1:14" x14ac:dyDescent="0.35">
      <c r="A27" s="647">
        <v>218</v>
      </c>
      <c r="B27" s="647" t="s">
        <v>3958</v>
      </c>
      <c r="C27" s="647" t="s">
        <v>3959</v>
      </c>
      <c r="D27" s="647" t="s">
        <v>2078</v>
      </c>
      <c r="E27" s="647" t="s">
        <v>2074</v>
      </c>
      <c r="F27" s="647">
        <v>72116</v>
      </c>
      <c r="G27" s="647" t="s">
        <v>3960</v>
      </c>
      <c r="H27" s="647" t="s">
        <v>3944</v>
      </c>
      <c r="I27" s="647" t="s">
        <v>3823</v>
      </c>
      <c r="J27" s="647">
        <v>1567961</v>
      </c>
      <c r="K27" s="647" t="s">
        <v>3961</v>
      </c>
      <c r="L27" s="647" t="s">
        <v>3962</v>
      </c>
      <c r="M27" s="647" t="s">
        <v>3826</v>
      </c>
      <c r="N27" s="648">
        <v>40193</v>
      </c>
    </row>
    <row r="28" spans="1:14" x14ac:dyDescent="0.35">
      <c r="A28" s="647">
        <v>230</v>
      </c>
      <c r="B28" s="647" t="s">
        <v>3963</v>
      </c>
      <c r="C28" s="647" t="s">
        <v>3964</v>
      </c>
      <c r="D28" s="647" t="s">
        <v>2080</v>
      </c>
      <c r="E28" s="647" t="s">
        <v>2074</v>
      </c>
      <c r="F28" s="647">
        <v>15143</v>
      </c>
      <c r="G28" s="647" t="s">
        <v>3965</v>
      </c>
      <c r="H28" s="647" t="s">
        <v>3944</v>
      </c>
      <c r="I28" s="647" t="s">
        <v>3937</v>
      </c>
      <c r="J28" s="647">
        <v>428220</v>
      </c>
      <c r="K28" s="647" t="s">
        <v>3966</v>
      </c>
      <c r="L28" s="647" t="s">
        <v>3967</v>
      </c>
      <c r="M28" s="647" t="s">
        <v>3826</v>
      </c>
      <c r="N28" s="648" t="e">
        <v>#N/A</v>
      </c>
    </row>
    <row r="29" spans="1:14" x14ac:dyDescent="0.35">
      <c r="A29" s="647">
        <v>240</v>
      </c>
      <c r="B29" s="647" t="s">
        <v>3968</v>
      </c>
      <c r="C29" s="647" t="s">
        <v>3969</v>
      </c>
      <c r="D29" s="647" t="s">
        <v>2082</v>
      </c>
      <c r="E29" s="647" t="s">
        <v>2074</v>
      </c>
      <c r="F29" s="647">
        <v>71671</v>
      </c>
      <c r="G29" s="647" t="s">
        <v>3970</v>
      </c>
      <c r="H29" s="647" t="s">
        <v>3944</v>
      </c>
      <c r="I29" s="647" t="s">
        <v>3823</v>
      </c>
      <c r="J29" s="647">
        <v>445723</v>
      </c>
      <c r="K29" s="647" t="s">
        <v>3971</v>
      </c>
      <c r="L29" s="647" t="s">
        <v>3972</v>
      </c>
      <c r="M29" s="647" t="s">
        <v>3973</v>
      </c>
      <c r="N29" s="648">
        <v>40281</v>
      </c>
    </row>
    <row r="30" spans="1:14" x14ac:dyDescent="0.35">
      <c r="A30" s="647">
        <v>244</v>
      </c>
      <c r="B30" s="647" t="s">
        <v>3974</v>
      </c>
      <c r="C30" s="647" t="s">
        <v>3975</v>
      </c>
      <c r="D30" s="647" t="s">
        <v>2084</v>
      </c>
      <c r="E30" s="647" t="s">
        <v>2085</v>
      </c>
      <c r="F30" s="647">
        <v>92802</v>
      </c>
      <c r="G30" s="647" t="s">
        <v>3976</v>
      </c>
      <c r="H30" s="647" t="s">
        <v>3924</v>
      </c>
      <c r="I30" s="647" t="s">
        <v>3977</v>
      </c>
      <c r="J30" s="647">
        <v>9411244</v>
      </c>
      <c r="K30" s="647" t="s">
        <v>3978</v>
      </c>
      <c r="L30" s="647" t="s">
        <v>3979</v>
      </c>
      <c r="M30" s="647" t="s">
        <v>3980</v>
      </c>
      <c r="N30" s="648" t="e">
        <v>#N/A</v>
      </c>
    </row>
    <row r="31" spans="1:14" x14ac:dyDescent="0.35">
      <c r="A31" s="647">
        <v>252</v>
      </c>
      <c r="B31" s="647" t="s">
        <v>3981</v>
      </c>
      <c r="C31" s="647" t="s">
        <v>3982</v>
      </c>
      <c r="D31" s="647" t="s">
        <v>2087</v>
      </c>
      <c r="E31" s="647" t="s">
        <v>2085</v>
      </c>
      <c r="F31" s="647">
        <v>94704</v>
      </c>
      <c r="G31" s="647" t="s">
        <v>3983</v>
      </c>
      <c r="H31" s="649"/>
      <c r="I31" s="649"/>
      <c r="J31" s="647">
        <v>20598555</v>
      </c>
      <c r="K31" s="647" t="s">
        <v>3984</v>
      </c>
      <c r="L31" s="647" t="s">
        <v>3985</v>
      </c>
      <c r="M31" s="647" t="s">
        <v>3836</v>
      </c>
      <c r="N31" s="648" t="e">
        <v>#N/A</v>
      </c>
    </row>
    <row r="32" spans="1:14" x14ac:dyDescent="0.35">
      <c r="A32" s="647">
        <v>272</v>
      </c>
      <c r="B32" s="647" t="s">
        <v>3986</v>
      </c>
      <c r="C32" s="647" t="s">
        <v>3987</v>
      </c>
      <c r="D32" s="647" t="s">
        <v>2089</v>
      </c>
      <c r="E32" s="647" t="s">
        <v>2085</v>
      </c>
      <c r="F32" s="647">
        <v>91502</v>
      </c>
      <c r="G32" s="647" t="s">
        <v>3988</v>
      </c>
      <c r="H32" s="649"/>
      <c r="I32" s="649"/>
      <c r="J32" s="647">
        <v>4928835</v>
      </c>
      <c r="K32" s="647" t="s">
        <v>3989</v>
      </c>
      <c r="L32" s="647" t="s">
        <v>3990</v>
      </c>
      <c r="M32" s="647" t="s">
        <v>3826</v>
      </c>
      <c r="N32" s="648" t="e">
        <v>#N/A</v>
      </c>
    </row>
    <row r="33" spans="1:14" x14ac:dyDescent="0.35">
      <c r="A33" s="647">
        <v>277</v>
      </c>
      <c r="B33" s="647" t="s">
        <v>3991</v>
      </c>
      <c r="C33" s="647" t="s">
        <v>3992</v>
      </c>
      <c r="D33" s="647" t="s">
        <v>2091</v>
      </c>
      <c r="E33" s="647" t="s">
        <v>2085</v>
      </c>
      <c r="F33" s="647">
        <v>93901</v>
      </c>
      <c r="G33" s="647" t="s">
        <v>3993</v>
      </c>
      <c r="H33" s="647" t="s">
        <v>3994</v>
      </c>
      <c r="I33" s="647" t="s">
        <v>3995</v>
      </c>
      <c r="J33" s="647">
        <v>6125489</v>
      </c>
      <c r="K33" s="647" t="s">
        <v>3996</v>
      </c>
      <c r="L33" s="647" t="s">
        <v>3997</v>
      </c>
      <c r="M33" s="647" t="s">
        <v>3836</v>
      </c>
      <c r="N33" s="648">
        <v>40360</v>
      </c>
    </row>
    <row r="34" spans="1:14" x14ac:dyDescent="0.35">
      <c r="A34" s="647">
        <v>284</v>
      </c>
      <c r="B34" s="647" t="s">
        <v>3998</v>
      </c>
      <c r="C34" s="647" t="s">
        <v>3999</v>
      </c>
      <c r="D34" s="647" t="s">
        <v>2093</v>
      </c>
      <c r="E34" s="647" t="s">
        <v>2085</v>
      </c>
      <c r="F34" s="647">
        <v>93772</v>
      </c>
      <c r="G34" s="647" t="s">
        <v>4000</v>
      </c>
      <c r="H34" s="649"/>
      <c r="I34" s="649"/>
      <c r="J34" s="647">
        <v>2066827</v>
      </c>
      <c r="K34" s="647" t="s">
        <v>4001</v>
      </c>
      <c r="L34" s="647" t="s">
        <v>4002</v>
      </c>
      <c r="M34" s="647" t="s">
        <v>3826</v>
      </c>
      <c r="N34" s="648" t="e">
        <v>#N/A</v>
      </c>
    </row>
    <row r="35" spans="1:14" x14ac:dyDescent="0.35">
      <c r="A35" s="647">
        <v>288</v>
      </c>
      <c r="B35" s="647" t="s">
        <v>4003</v>
      </c>
      <c r="C35" s="647" t="s">
        <v>4004</v>
      </c>
      <c r="D35" s="647" t="s">
        <v>2095</v>
      </c>
      <c r="E35" s="647" t="s">
        <v>2085</v>
      </c>
      <c r="F35" s="647">
        <v>91011</v>
      </c>
      <c r="G35" s="647" t="s">
        <v>4005</v>
      </c>
      <c r="H35" s="647" t="s">
        <v>4006</v>
      </c>
      <c r="I35" s="647" t="s">
        <v>3995</v>
      </c>
      <c r="J35" s="647">
        <v>8401515</v>
      </c>
      <c r="K35" s="647" t="s">
        <v>4007</v>
      </c>
      <c r="L35" s="647" t="s">
        <v>4008</v>
      </c>
      <c r="M35" s="647" t="s">
        <v>4009</v>
      </c>
      <c r="N35" s="648">
        <v>40299</v>
      </c>
    </row>
    <row r="36" spans="1:14" x14ac:dyDescent="0.35">
      <c r="A36" s="647">
        <v>300</v>
      </c>
      <c r="B36" s="647" t="s">
        <v>4010</v>
      </c>
      <c r="C36" s="647" t="s">
        <v>4011</v>
      </c>
      <c r="D36" s="647" t="s">
        <v>4012</v>
      </c>
      <c r="E36" s="647" t="s">
        <v>2085</v>
      </c>
      <c r="F36" s="647">
        <v>91206</v>
      </c>
      <c r="G36" s="647" t="s">
        <v>4013</v>
      </c>
      <c r="H36" s="647" t="s">
        <v>3994</v>
      </c>
      <c r="I36" s="647" t="s">
        <v>3995</v>
      </c>
      <c r="J36" s="647"/>
      <c r="K36" s="647" t="s">
        <v>3632</v>
      </c>
      <c r="L36" s="647" t="s">
        <v>4014</v>
      </c>
      <c r="M36" s="647" t="s">
        <v>3826</v>
      </c>
      <c r="N36" s="648">
        <v>40360</v>
      </c>
    </row>
    <row r="37" spans="1:14" x14ac:dyDescent="0.35">
      <c r="A37" s="647">
        <v>306</v>
      </c>
      <c r="B37" s="647" t="s">
        <v>4015</v>
      </c>
      <c r="C37" s="647" t="s">
        <v>4016</v>
      </c>
      <c r="D37" s="647" t="s">
        <v>2097</v>
      </c>
      <c r="E37" s="647" t="s">
        <v>2085</v>
      </c>
      <c r="F37" s="647">
        <v>93313</v>
      </c>
      <c r="G37" s="647" t="s">
        <v>4017</v>
      </c>
      <c r="H37" s="647" t="s">
        <v>3924</v>
      </c>
      <c r="I37" s="647" t="s">
        <v>3995</v>
      </c>
      <c r="J37" s="647"/>
      <c r="K37" s="647" t="s">
        <v>4018</v>
      </c>
      <c r="L37" s="647" t="s">
        <v>4019</v>
      </c>
      <c r="M37" s="647" t="s">
        <v>3826</v>
      </c>
      <c r="N37" s="648" t="e">
        <v>#N/A</v>
      </c>
    </row>
    <row r="38" spans="1:14" x14ac:dyDescent="0.35">
      <c r="A38" s="647">
        <v>310</v>
      </c>
      <c r="B38" s="647" t="s">
        <v>4020</v>
      </c>
      <c r="C38" s="647" t="s">
        <v>4021</v>
      </c>
      <c r="D38" s="647" t="s">
        <v>2099</v>
      </c>
      <c r="E38" s="647" t="s">
        <v>2085</v>
      </c>
      <c r="F38" s="647">
        <v>93230</v>
      </c>
      <c r="G38" s="647" t="s">
        <v>4022</v>
      </c>
      <c r="H38" s="649"/>
      <c r="I38" s="649"/>
      <c r="J38" s="647">
        <v>755902</v>
      </c>
      <c r="K38" s="647" t="s">
        <v>4023</v>
      </c>
      <c r="L38" s="647" t="s">
        <v>4024</v>
      </c>
      <c r="M38" s="647" t="s">
        <v>4025</v>
      </c>
      <c r="N38" s="648" t="e">
        <v>#N/A</v>
      </c>
    </row>
    <row r="39" spans="1:14" x14ac:dyDescent="0.35">
      <c r="A39" s="647">
        <v>311</v>
      </c>
      <c r="B39" s="647" t="s">
        <v>4026</v>
      </c>
      <c r="C39" s="647" t="s">
        <v>4027</v>
      </c>
      <c r="D39" s="647" t="s">
        <v>4028</v>
      </c>
      <c r="E39" s="647" t="s">
        <v>2085</v>
      </c>
      <c r="F39" s="647">
        <v>93212</v>
      </c>
      <c r="G39" s="647" t="s">
        <v>4029</v>
      </c>
      <c r="H39" s="649"/>
      <c r="I39" s="649"/>
      <c r="J39" s="647"/>
      <c r="K39" s="647" t="s">
        <v>4030</v>
      </c>
      <c r="L39" s="647" t="s">
        <v>4031</v>
      </c>
      <c r="M39" s="647" t="s">
        <v>3826</v>
      </c>
      <c r="N39" s="648" t="e">
        <v>#N/A</v>
      </c>
    </row>
    <row r="40" spans="1:14" x14ac:dyDescent="0.35">
      <c r="A40" s="647">
        <v>318</v>
      </c>
      <c r="B40" s="647" t="s">
        <v>4032</v>
      </c>
      <c r="C40" s="647" t="s">
        <v>4033</v>
      </c>
      <c r="D40" s="647" t="s">
        <v>2101</v>
      </c>
      <c r="E40" s="647" t="s">
        <v>2085</v>
      </c>
      <c r="F40" s="647">
        <v>90809</v>
      </c>
      <c r="G40" s="647" t="s">
        <v>4034</v>
      </c>
      <c r="H40" s="647" t="s">
        <v>3924</v>
      </c>
      <c r="I40" s="647" t="s">
        <v>3995</v>
      </c>
      <c r="J40" s="647">
        <v>16624195</v>
      </c>
      <c r="K40" s="647" t="s">
        <v>4035</v>
      </c>
      <c r="L40" s="647" t="s">
        <v>4036</v>
      </c>
      <c r="M40" s="647" t="s">
        <v>3826</v>
      </c>
      <c r="N40" s="648">
        <v>40360</v>
      </c>
    </row>
    <row r="41" spans="1:14" x14ac:dyDescent="0.35">
      <c r="A41" s="647">
        <v>346</v>
      </c>
      <c r="B41" s="647" t="s">
        <v>4037</v>
      </c>
      <c r="C41" s="647" t="s">
        <v>4038</v>
      </c>
      <c r="D41" s="647" t="s">
        <v>2103</v>
      </c>
      <c r="E41" s="647" t="s">
        <v>2085</v>
      </c>
      <c r="F41" s="647">
        <v>90005</v>
      </c>
      <c r="G41" s="647" t="s">
        <v>4039</v>
      </c>
      <c r="H41" s="649"/>
      <c r="I41" s="649"/>
      <c r="J41" s="647">
        <v>88807000</v>
      </c>
      <c r="K41" s="647" t="s">
        <v>3918</v>
      </c>
      <c r="L41" s="647" t="s">
        <v>4040</v>
      </c>
      <c r="M41" s="647" t="s">
        <v>3826</v>
      </c>
      <c r="N41" s="648" t="e">
        <v>#N/A</v>
      </c>
    </row>
    <row r="42" spans="1:14" x14ac:dyDescent="0.35">
      <c r="A42" s="647">
        <v>480</v>
      </c>
      <c r="B42" s="647" t="s">
        <v>4041</v>
      </c>
      <c r="C42" s="647" t="s">
        <v>4042</v>
      </c>
      <c r="D42" s="647" t="s">
        <v>2105</v>
      </c>
      <c r="E42" s="647" t="s">
        <v>2085</v>
      </c>
      <c r="F42" s="647">
        <v>94523</v>
      </c>
      <c r="G42" s="647" t="s">
        <v>4043</v>
      </c>
      <c r="H42" s="647" t="s">
        <v>3924</v>
      </c>
      <c r="I42" s="647" t="s">
        <v>3995</v>
      </c>
      <c r="J42" s="647">
        <v>8414357</v>
      </c>
      <c r="K42" s="647" t="s">
        <v>4044</v>
      </c>
      <c r="L42" s="647" t="s">
        <v>3565</v>
      </c>
      <c r="M42" s="647" t="s">
        <v>3826</v>
      </c>
      <c r="N42" s="648">
        <v>40178</v>
      </c>
    </row>
    <row r="43" spans="1:14" x14ac:dyDescent="0.35">
      <c r="A43" s="647">
        <v>486</v>
      </c>
      <c r="B43" s="647" t="s">
        <v>4045</v>
      </c>
      <c r="C43" s="647" t="s">
        <v>4046</v>
      </c>
      <c r="D43" s="647" t="s">
        <v>2107</v>
      </c>
      <c r="E43" s="647" t="s">
        <v>2085</v>
      </c>
      <c r="F43" s="647">
        <v>94612</v>
      </c>
      <c r="G43" s="647" t="s">
        <v>4047</v>
      </c>
      <c r="H43" s="647" t="s">
        <v>3994</v>
      </c>
      <c r="I43" s="647" t="s">
        <v>3995</v>
      </c>
      <c r="J43" s="647">
        <v>30694423</v>
      </c>
      <c r="K43" s="647" t="s">
        <v>3956</v>
      </c>
      <c r="L43" s="647" t="s">
        <v>4048</v>
      </c>
      <c r="M43" s="647" t="s">
        <v>3826</v>
      </c>
      <c r="N43" s="648">
        <v>40359</v>
      </c>
    </row>
    <row r="44" spans="1:14" x14ac:dyDescent="0.35">
      <c r="A44" s="647">
        <v>526</v>
      </c>
      <c r="B44" s="647" t="s">
        <v>4049</v>
      </c>
      <c r="C44" s="647" t="s">
        <v>4050</v>
      </c>
      <c r="D44" s="647" t="s">
        <v>2109</v>
      </c>
      <c r="E44" s="647" t="s">
        <v>2085</v>
      </c>
      <c r="F44" s="647">
        <v>91762</v>
      </c>
      <c r="G44" s="647" t="s">
        <v>4051</v>
      </c>
      <c r="H44" s="647" t="s">
        <v>3924</v>
      </c>
      <c r="I44" s="647" t="s">
        <v>3977</v>
      </c>
      <c r="J44" s="647">
        <v>5998090</v>
      </c>
      <c r="K44" s="647" t="s">
        <v>4052</v>
      </c>
      <c r="L44" s="647" t="s">
        <v>4053</v>
      </c>
      <c r="M44" s="647" t="s">
        <v>3826</v>
      </c>
      <c r="N44" s="648" t="e">
        <v>#N/A</v>
      </c>
    </row>
    <row r="45" spans="1:14" x14ac:dyDescent="0.35">
      <c r="A45" s="647">
        <v>530</v>
      </c>
      <c r="B45" s="647" t="s">
        <v>4054</v>
      </c>
      <c r="C45" s="647" t="s">
        <v>4055</v>
      </c>
      <c r="D45" s="647" t="s">
        <v>2111</v>
      </c>
      <c r="E45" s="647" t="s">
        <v>2085</v>
      </c>
      <c r="F45" s="647">
        <v>92869</v>
      </c>
      <c r="G45" s="647" t="s">
        <v>4056</v>
      </c>
      <c r="H45" s="647" t="s">
        <v>3931</v>
      </c>
      <c r="I45" s="647" t="s">
        <v>3995</v>
      </c>
      <c r="J45" s="647">
        <v>2099949</v>
      </c>
      <c r="K45" s="647" t="s">
        <v>4057</v>
      </c>
      <c r="L45" s="647" t="s">
        <v>4058</v>
      </c>
      <c r="M45" s="647" t="s">
        <v>3826</v>
      </c>
      <c r="N45" s="648">
        <v>40422</v>
      </c>
    </row>
    <row r="46" spans="1:14" x14ac:dyDescent="0.35">
      <c r="A46" s="647">
        <v>532</v>
      </c>
      <c r="B46" s="647" t="s">
        <v>4059</v>
      </c>
      <c r="C46" s="647" t="s">
        <v>4060</v>
      </c>
      <c r="D46" s="647" t="s">
        <v>4061</v>
      </c>
      <c r="E46" s="647" t="s">
        <v>2085</v>
      </c>
      <c r="F46" s="647">
        <v>95965</v>
      </c>
      <c r="G46" s="647" t="s">
        <v>4062</v>
      </c>
      <c r="H46" s="649"/>
      <c r="I46" s="649"/>
      <c r="J46" s="647"/>
      <c r="K46" s="647" t="s">
        <v>3896</v>
      </c>
      <c r="L46" s="647" t="s">
        <v>4063</v>
      </c>
      <c r="M46" s="647" t="s">
        <v>3826</v>
      </c>
      <c r="N46" s="648" t="e">
        <v>#N/A</v>
      </c>
    </row>
    <row r="47" spans="1:14" x14ac:dyDescent="0.35">
      <c r="A47" s="647">
        <v>535</v>
      </c>
      <c r="B47" s="647" t="s">
        <v>4064</v>
      </c>
      <c r="C47" s="647" t="s">
        <v>4065</v>
      </c>
      <c r="D47" s="647" t="s">
        <v>2113</v>
      </c>
      <c r="E47" s="647" t="s">
        <v>2085</v>
      </c>
      <c r="F47" s="647">
        <v>92780</v>
      </c>
      <c r="G47" s="647" t="s">
        <v>4066</v>
      </c>
      <c r="H47" s="647" t="s">
        <v>3931</v>
      </c>
      <c r="I47" s="647" t="s">
        <v>3995</v>
      </c>
      <c r="J47" s="647">
        <v>32231740</v>
      </c>
      <c r="K47" s="647" t="s">
        <v>4067</v>
      </c>
      <c r="L47" s="647" t="s">
        <v>4068</v>
      </c>
      <c r="M47" s="647" t="s">
        <v>3826</v>
      </c>
      <c r="N47" s="648">
        <v>40238</v>
      </c>
    </row>
    <row r="48" spans="1:14" x14ac:dyDescent="0.35">
      <c r="A48" s="647">
        <v>538</v>
      </c>
      <c r="B48" s="647" t="s">
        <v>4069</v>
      </c>
      <c r="C48" s="647" t="s">
        <v>4070</v>
      </c>
      <c r="D48" s="647" t="s">
        <v>2115</v>
      </c>
      <c r="E48" s="647" t="s">
        <v>2085</v>
      </c>
      <c r="F48" s="647">
        <v>94303</v>
      </c>
      <c r="G48" s="647" t="s">
        <v>4071</v>
      </c>
      <c r="H48" s="647" t="s">
        <v>3924</v>
      </c>
      <c r="I48" s="647" t="s">
        <v>3995</v>
      </c>
      <c r="J48" s="647">
        <v>20421475</v>
      </c>
      <c r="K48" s="647" t="s">
        <v>2979</v>
      </c>
      <c r="L48" s="647" t="s">
        <v>4072</v>
      </c>
      <c r="M48" s="647" t="s">
        <v>3973</v>
      </c>
      <c r="N48" s="648">
        <v>40179</v>
      </c>
    </row>
    <row r="49" spans="1:14" x14ac:dyDescent="0.35">
      <c r="A49" s="647">
        <v>558</v>
      </c>
      <c r="B49" s="647" t="s">
        <v>4073</v>
      </c>
      <c r="C49" s="647" t="s">
        <v>4074</v>
      </c>
      <c r="D49" s="647" t="s">
        <v>2117</v>
      </c>
      <c r="E49" s="647" t="s">
        <v>2085</v>
      </c>
      <c r="F49" s="647">
        <v>91767</v>
      </c>
      <c r="G49" s="647" t="s">
        <v>4075</v>
      </c>
      <c r="H49" s="647" t="s">
        <v>3931</v>
      </c>
      <c r="I49" s="647" t="s">
        <v>3995</v>
      </c>
      <c r="J49" s="647">
        <v>2351977</v>
      </c>
      <c r="K49" s="647" t="s">
        <v>4076</v>
      </c>
      <c r="L49" s="647" t="s">
        <v>4077</v>
      </c>
      <c r="M49" s="647" t="s">
        <v>4078</v>
      </c>
      <c r="N49" s="648">
        <v>40299</v>
      </c>
    </row>
    <row r="50" spans="1:14" x14ac:dyDescent="0.35">
      <c r="A50" s="647">
        <v>560</v>
      </c>
      <c r="B50" s="647" t="s">
        <v>4079</v>
      </c>
      <c r="C50" s="647" t="s">
        <v>4080</v>
      </c>
      <c r="D50" s="647" t="s">
        <v>2119</v>
      </c>
      <c r="E50" s="647" t="s">
        <v>2085</v>
      </c>
      <c r="F50" s="647" t="s">
        <v>4081</v>
      </c>
      <c r="G50" s="647" t="s">
        <v>4082</v>
      </c>
      <c r="H50" s="647" t="s">
        <v>3994</v>
      </c>
      <c r="I50" s="647" t="s">
        <v>4083</v>
      </c>
      <c r="J50" s="647">
        <v>3134778</v>
      </c>
      <c r="K50" s="647" t="s">
        <v>4067</v>
      </c>
      <c r="L50" s="647" t="s">
        <v>4084</v>
      </c>
      <c r="M50" s="647" t="s">
        <v>3826</v>
      </c>
      <c r="N50" s="648">
        <v>40360</v>
      </c>
    </row>
    <row r="51" spans="1:14" x14ac:dyDescent="0.35">
      <c r="A51" s="647">
        <v>562</v>
      </c>
      <c r="B51" s="647" t="s">
        <v>4085</v>
      </c>
      <c r="C51" s="647" t="s">
        <v>4086</v>
      </c>
      <c r="D51" s="647" t="s">
        <v>2121</v>
      </c>
      <c r="E51" s="647" t="s">
        <v>2085</v>
      </c>
      <c r="F51" s="647">
        <v>92373</v>
      </c>
      <c r="G51" s="647" t="s">
        <v>4087</v>
      </c>
      <c r="H51" s="647" t="s">
        <v>3924</v>
      </c>
      <c r="I51" s="647" t="s">
        <v>3995</v>
      </c>
      <c r="J51" s="647">
        <v>9361171</v>
      </c>
      <c r="K51" s="647" t="s">
        <v>4088</v>
      </c>
      <c r="L51" s="647" t="s">
        <v>4089</v>
      </c>
      <c r="M51" s="647" t="s">
        <v>3826</v>
      </c>
      <c r="N51" s="648" t="e">
        <v>#N/A</v>
      </c>
    </row>
    <row r="52" spans="1:14" x14ac:dyDescent="0.35">
      <c r="A52" s="647">
        <v>566</v>
      </c>
      <c r="B52" s="647" t="s">
        <v>4090</v>
      </c>
      <c r="C52" s="647" t="s">
        <v>4091</v>
      </c>
      <c r="D52" s="647" t="s">
        <v>2123</v>
      </c>
      <c r="E52" s="647" t="s">
        <v>2085</v>
      </c>
      <c r="F52" s="647">
        <v>92504</v>
      </c>
      <c r="G52" s="647" t="s">
        <v>4092</v>
      </c>
      <c r="H52" s="647" t="s">
        <v>4006</v>
      </c>
      <c r="I52" s="647" t="s">
        <v>3995</v>
      </c>
      <c r="J52" s="647">
        <v>7880822</v>
      </c>
      <c r="K52" s="647" t="s">
        <v>3956</v>
      </c>
      <c r="L52" s="647" t="s">
        <v>4093</v>
      </c>
      <c r="M52" s="647" t="s">
        <v>3826</v>
      </c>
      <c r="N52" s="648">
        <v>40360</v>
      </c>
    </row>
    <row r="53" spans="1:14" x14ac:dyDescent="0.35">
      <c r="A53" s="647">
        <v>570</v>
      </c>
      <c r="B53" s="647" t="s">
        <v>4094</v>
      </c>
      <c r="C53" s="647" t="s">
        <v>4095</v>
      </c>
      <c r="D53" s="647" t="s">
        <v>2125</v>
      </c>
      <c r="E53" s="647" t="s">
        <v>2085</v>
      </c>
      <c r="F53" s="647">
        <v>92880</v>
      </c>
      <c r="G53" s="647" t="s">
        <v>4096</v>
      </c>
      <c r="H53" s="649"/>
      <c r="I53" s="649"/>
      <c r="J53" s="647">
        <v>1531116</v>
      </c>
      <c r="K53" s="647" t="s">
        <v>4097</v>
      </c>
      <c r="L53" s="647" t="s">
        <v>4098</v>
      </c>
      <c r="M53" s="647" t="s">
        <v>3826</v>
      </c>
      <c r="N53" s="648" t="e">
        <v>#N/A</v>
      </c>
    </row>
    <row r="54" spans="1:14" x14ac:dyDescent="0.35">
      <c r="A54" s="647">
        <v>574</v>
      </c>
      <c r="B54" s="647" t="s">
        <v>4099</v>
      </c>
      <c r="C54" s="647" t="s">
        <v>4100</v>
      </c>
      <c r="D54" s="647" t="s">
        <v>2127</v>
      </c>
      <c r="E54" s="647" t="s">
        <v>2085</v>
      </c>
      <c r="F54" s="647">
        <v>92260</v>
      </c>
      <c r="G54" s="647" t="s">
        <v>4101</v>
      </c>
      <c r="H54" s="649"/>
      <c r="I54" s="649"/>
      <c r="J54" s="647">
        <v>5759196</v>
      </c>
      <c r="K54" s="647" t="s">
        <v>3830</v>
      </c>
      <c r="L54" s="647" t="s">
        <v>4102</v>
      </c>
      <c r="M54" s="647" t="s">
        <v>3826</v>
      </c>
      <c r="N54" s="648" t="e">
        <v>#N/A</v>
      </c>
    </row>
    <row r="55" spans="1:14" x14ac:dyDescent="0.35">
      <c r="A55" s="647">
        <v>582</v>
      </c>
      <c r="B55" s="647" t="s">
        <v>4103</v>
      </c>
      <c r="C55" s="647" t="s">
        <v>4104</v>
      </c>
      <c r="D55" s="647" t="s">
        <v>2129</v>
      </c>
      <c r="E55" s="647" t="s">
        <v>2085</v>
      </c>
      <c r="F55" s="647">
        <v>95818</v>
      </c>
      <c r="G55" s="647" t="s">
        <v>4105</v>
      </c>
      <c r="H55" s="647" t="s">
        <v>3924</v>
      </c>
      <c r="I55" s="647" t="s">
        <v>3995</v>
      </c>
      <c r="J55" s="647">
        <v>4772043</v>
      </c>
      <c r="K55" s="647" t="s">
        <v>4106</v>
      </c>
      <c r="L55" s="647" t="s">
        <v>4107</v>
      </c>
      <c r="M55" s="647" t="s">
        <v>3826</v>
      </c>
      <c r="N55" s="648" t="e">
        <v>#N/A</v>
      </c>
    </row>
    <row r="56" spans="1:14" x14ac:dyDescent="0.35">
      <c r="A56" s="647">
        <v>587</v>
      </c>
      <c r="B56" s="647" t="s">
        <v>4108</v>
      </c>
      <c r="C56" s="647" t="s">
        <v>4109</v>
      </c>
      <c r="D56" s="647" t="s">
        <v>2131</v>
      </c>
      <c r="E56" s="647" t="s">
        <v>2085</v>
      </c>
      <c r="F56" s="647">
        <v>96097</v>
      </c>
      <c r="G56" s="647" t="s">
        <v>4110</v>
      </c>
      <c r="H56" s="647" t="s">
        <v>3994</v>
      </c>
      <c r="I56" s="647" t="s">
        <v>4111</v>
      </c>
      <c r="J56" s="647">
        <v>432250</v>
      </c>
      <c r="K56" s="647" t="s">
        <v>4112</v>
      </c>
      <c r="L56" s="647" t="s">
        <v>4113</v>
      </c>
      <c r="M56" s="647" t="s">
        <v>3826</v>
      </c>
      <c r="N56" s="648">
        <v>40224</v>
      </c>
    </row>
    <row r="57" spans="1:14" x14ac:dyDescent="0.35">
      <c r="A57" s="647">
        <v>610</v>
      </c>
      <c r="B57" s="647" t="s">
        <v>4114</v>
      </c>
      <c r="C57" s="647" t="s">
        <v>4115</v>
      </c>
      <c r="D57" s="647" t="s">
        <v>2133</v>
      </c>
      <c r="E57" s="647" t="s">
        <v>2085</v>
      </c>
      <c r="F57" s="647">
        <v>92123</v>
      </c>
      <c r="G57" s="647" t="s">
        <v>4116</v>
      </c>
      <c r="H57" s="647" t="s">
        <v>4117</v>
      </c>
      <c r="I57" s="647" t="s">
        <v>4083</v>
      </c>
      <c r="J57" s="647">
        <v>120893000</v>
      </c>
      <c r="K57" s="647" t="s">
        <v>4118</v>
      </c>
      <c r="L57" s="647" t="s">
        <v>4119</v>
      </c>
      <c r="M57" s="647" t="s">
        <v>3826</v>
      </c>
      <c r="N57" s="648">
        <v>40360</v>
      </c>
    </row>
    <row r="58" spans="1:14" x14ac:dyDescent="0.35">
      <c r="A58" s="647">
        <v>654</v>
      </c>
      <c r="B58" s="647" t="s">
        <v>4120</v>
      </c>
      <c r="C58" s="647" t="s">
        <v>4121</v>
      </c>
      <c r="D58" s="647" t="s">
        <v>2135</v>
      </c>
      <c r="E58" s="647" t="s">
        <v>2085</v>
      </c>
      <c r="F58" s="647">
        <v>94105</v>
      </c>
      <c r="G58" s="647" t="s">
        <v>4122</v>
      </c>
      <c r="H58" s="647" t="s">
        <v>3924</v>
      </c>
      <c r="I58" s="647" t="s">
        <v>4123</v>
      </c>
      <c r="J58" s="647">
        <v>60972554</v>
      </c>
      <c r="K58" s="647" t="s">
        <v>4124</v>
      </c>
      <c r="L58" s="647" t="s">
        <v>4125</v>
      </c>
      <c r="M58" s="647" t="s">
        <v>3836</v>
      </c>
      <c r="N58" s="648" t="e">
        <v>#N/A</v>
      </c>
    </row>
    <row r="59" spans="1:14" x14ac:dyDescent="0.35">
      <c r="A59" s="647">
        <v>698</v>
      </c>
      <c r="B59" s="647" t="s">
        <v>4126</v>
      </c>
      <c r="C59" s="647" t="s">
        <v>4127</v>
      </c>
      <c r="D59" s="647" t="s">
        <v>2137</v>
      </c>
      <c r="E59" s="647" t="s">
        <v>2085</v>
      </c>
      <c r="F59" s="647">
        <v>91016</v>
      </c>
      <c r="G59" s="647" t="s">
        <v>4128</v>
      </c>
      <c r="H59" s="647" t="s">
        <v>3931</v>
      </c>
      <c r="I59" s="647" t="s">
        <v>3995</v>
      </c>
      <c r="J59" s="647">
        <v>3962625</v>
      </c>
      <c r="K59" s="647" t="s">
        <v>4129</v>
      </c>
      <c r="L59" s="647" t="s">
        <v>4130</v>
      </c>
      <c r="M59" s="647" t="s">
        <v>3826</v>
      </c>
      <c r="N59" s="648">
        <v>40360</v>
      </c>
    </row>
    <row r="60" spans="1:14" x14ac:dyDescent="0.35">
      <c r="A60" s="647">
        <v>702</v>
      </c>
      <c r="B60" s="647" t="s">
        <v>4131</v>
      </c>
      <c r="C60" s="647" t="s">
        <v>4132</v>
      </c>
      <c r="D60" s="647" t="s">
        <v>2135</v>
      </c>
      <c r="E60" s="647" t="s">
        <v>2085</v>
      </c>
      <c r="F60" s="647">
        <v>94104</v>
      </c>
      <c r="G60" s="647" t="s">
        <v>4133</v>
      </c>
      <c r="H60" s="647" t="s">
        <v>3924</v>
      </c>
      <c r="I60" s="647" t="s">
        <v>4083</v>
      </c>
      <c r="J60" s="647">
        <v>40729373</v>
      </c>
      <c r="K60" s="647" t="s">
        <v>4134</v>
      </c>
      <c r="L60" s="647" t="s">
        <v>4135</v>
      </c>
      <c r="M60" s="647" t="s">
        <v>3826</v>
      </c>
      <c r="N60" s="648">
        <v>40360</v>
      </c>
    </row>
    <row r="61" spans="1:14" x14ac:dyDescent="0.35">
      <c r="A61" s="647">
        <v>726</v>
      </c>
      <c r="B61" s="647" t="s">
        <v>4136</v>
      </c>
      <c r="C61" s="647" t="s">
        <v>4137</v>
      </c>
      <c r="D61" s="647" t="s">
        <v>2141</v>
      </c>
      <c r="E61" s="647" t="s">
        <v>2085</v>
      </c>
      <c r="F61" s="647">
        <v>93401</v>
      </c>
      <c r="G61" s="647" t="s">
        <v>4138</v>
      </c>
      <c r="H61" s="649"/>
      <c r="I61" s="649"/>
      <c r="J61" s="647">
        <v>2253449</v>
      </c>
      <c r="K61" s="647" t="s">
        <v>4139</v>
      </c>
      <c r="L61" s="647" t="s">
        <v>4140</v>
      </c>
      <c r="M61" s="647" t="s">
        <v>3826</v>
      </c>
      <c r="N61" s="648" t="e">
        <v>#N/A</v>
      </c>
    </row>
    <row r="62" spans="1:14" x14ac:dyDescent="0.35">
      <c r="A62" s="647">
        <v>734</v>
      </c>
      <c r="B62" s="647" t="s">
        <v>4141</v>
      </c>
      <c r="C62" s="647" t="s">
        <v>4142</v>
      </c>
      <c r="D62" s="647" t="s">
        <v>2143</v>
      </c>
      <c r="E62" s="647" t="s">
        <v>2085</v>
      </c>
      <c r="F62" s="647">
        <v>90401</v>
      </c>
      <c r="G62" s="647" t="s">
        <v>4143</v>
      </c>
      <c r="H62" s="649"/>
      <c r="I62" s="649"/>
      <c r="J62" s="647">
        <v>1757180</v>
      </c>
      <c r="K62" s="647" t="s">
        <v>4144</v>
      </c>
      <c r="L62" s="647" t="s">
        <v>4145</v>
      </c>
      <c r="M62" s="647" t="s">
        <v>3826</v>
      </c>
      <c r="N62" s="648" t="e">
        <v>#N/A</v>
      </c>
    </row>
    <row r="63" spans="1:14" x14ac:dyDescent="0.35">
      <c r="A63" s="647">
        <v>738</v>
      </c>
      <c r="B63" s="647" t="s">
        <v>4146</v>
      </c>
      <c r="C63" s="647" t="s">
        <v>4147</v>
      </c>
      <c r="D63" s="647" t="s">
        <v>2145</v>
      </c>
      <c r="E63" s="647" t="s">
        <v>2085</v>
      </c>
      <c r="F63" s="647">
        <v>93105</v>
      </c>
      <c r="G63" s="647" t="s">
        <v>4148</v>
      </c>
      <c r="H63" s="649"/>
      <c r="I63" s="649"/>
      <c r="J63" s="647">
        <v>14775928</v>
      </c>
      <c r="K63" s="647" t="s">
        <v>4149</v>
      </c>
      <c r="L63" s="647" t="s">
        <v>4150</v>
      </c>
      <c r="M63" s="647" t="s">
        <v>3826</v>
      </c>
      <c r="N63" s="648" t="e">
        <v>#N/A</v>
      </c>
    </row>
    <row r="64" spans="1:14" x14ac:dyDescent="0.35">
      <c r="A64" s="647">
        <v>750</v>
      </c>
      <c r="B64" s="647" t="s">
        <v>4151</v>
      </c>
      <c r="C64" s="647" t="s">
        <v>4152</v>
      </c>
      <c r="D64" s="647" t="s">
        <v>2147</v>
      </c>
      <c r="E64" s="647" t="s">
        <v>2085</v>
      </c>
      <c r="F64" s="647">
        <v>93455</v>
      </c>
      <c r="G64" s="647" t="s">
        <v>4153</v>
      </c>
      <c r="H64" s="647" t="s">
        <v>3924</v>
      </c>
      <c r="I64" s="647" t="s">
        <v>3995</v>
      </c>
      <c r="J64" s="647">
        <v>2405133</v>
      </c>
      <c r="K64" s="647" t="s">
        <v>4154</v>
      </c>
      <c r="L64" s="647" t="s">
        <v>4155</v>
      </c>
      <c r="M64" s="647" t="s">
        <v>3826</v>
      </c>
      <c r="N64" s="648">
        <v>40360</v>
      </c>
    </row>
    <row r="65" spans="1:14" x14ac:dyDescent="0.35">
      <c r="A65" s="647">
        <v>754</v>
      </c>
      <c r="B65" s="647" t="s">
        <v>4156</v>
      </c>
      <c r="C65" s="647" t="s">
        <v>4157</v>
      </c>
      <c r="D65" s="647" t="s">
        <v>2149</v>
      </c>
      <c r="E65" s="647" t="s">
        <v>2085</v>
      </c>
      <c r="F65" s="647">
        <v>90401</v>
      </c>
      <c r="G65" s="647" t="s">
        <v>4158</v>
      </c>
      <c r="H65" s="647" t="s">
        <v>3994</v>
      </c>
      <c r="I65" s="647" t="s">
        <v>4083</v>
      </c>
      <c r="J65" s="647">
        <v>4015553</v>
      </c>
      <c r="K65" s="647" t="s">
        <v>4159</v>
      </c>
      <c r="L65" s="647" t="s">
        <v>4160</v>
      </c>
      <c r="M65" s="647" t="s">
        <v>3826</v>
      </c>
      <c r="N65" s="648">
        <v>40178</v>
      </c>
    </row>
    <row r="66" spans="1:14" x14ac:dyDescent="0.35">
      <c r="A66" s="647">
        <v>758</v>
      </c>
      <c r="B66" s="647" t="s">
        <v>4161</v>
      </c>
      <c r="C66" s="647" t="s">
        <v>4162</v>
      </c>
      <c r="D66" s="647" t="s">
        <v>2151</v>
      </c>
      <c r="E66" s="647" t="s">
        <v>2085</v>
      </c>
      <c r="F66" s="647">
        <v>95404</v>
      </c>
      <c r="G66" s="647" t="s">
        <v>4163</v>
      </c>
      <c r="H66" s="649"/>
      <c r="I66" s="649"/>
      <c r="J66" s="647">
        <v>6508156</v>
      </c>
      <c r="K66" s="647" t="s">
        <v>4164</v>
      </c>
      <c r="L66" s="647" t="s">
        <v>4165</v>
      </c>
      <c r="M66" s="647" t="s">
        <v>4078</v>
      </c>
      <c r="N66" s="648" t="e">
        <v>#N/A</v>
      </c>
    </row>
    <row r="67" spans="1:14" x14ac:dyDescent="0.35">
      <c r="A67" s="647">
        <v>766</v>
      </c>
      <c r="B67" s="647" t="s">
        <v>4166</v>
      </c>
      <c r="C67" s="647" t="s">
        <v>4167</v>
      </c>
      <c r="D67" s="647" t="s">
        <v>2153</v>
      </c>
      <c r="E67" s="647" t="s">
        <v>2085</v>
      </c>
      <c r="F67" s="647">
        <v>91360</v>
      </c>
      <c r="G67" s="647" t="s">
        <v>4168</v>
      </c>
      <c r="H67" s="647" t="s">
        <v>3994</v>
      </c>
      <c r="I67" s="647" t="s">
        <v>3995</v>
      </c>
      <c r="J67" s="647">
        <v>7953442</v>
      </c>
      <c r="K67" s="647" t="s">
        <v>4169</v>
      </c>
      <c r="L67" s="647" t="s">
        <v>4170</v>
      </c>
      <c r="M67" s="647" t="s">
        <v>3826</v>
      </c>
      <c r="N67" s="648">
        <v>40178</v>
      </c>
    </row>
    <row r="68" spans="1:14" x14ac:dyDescent="0.35">
      <c r="A68" s="647">
        <v>780</v>
      </c>
      <c r="B68" s="647" t="s">
        <v>4171</v>
      </c>
      <c r="C68" s="647" t="s">
        <v>4172</v>
      </c>
      <c r="D68" s="647" t="s">
        <v>4173</v>
      </c>
      <c r="E68" s="647" t="s">
        <v>2085</v>
      </c>
      <c r="F68" s="647">
        <v>95350</v>
      </c>
      <c r="G68" s="647" t="s">
        <v>4174</v>
      </c>
      <c r="H68" s="647" t="s">
        <v>3924</v>
      </c>
      <c r="I68" s="647" t="s">
        <v>4175</v>
      </c>
      <c r="J68" s="647"/>
      <c r="K68" s="647" t="s">
        <v>4176</v>
      </c>
      <c r="L68" s="647" t="s">
        <v>4177</v>
      </c>
      <c r="M68" s="647" t="s">
        <v>3826</v>
      </c>
      <c r="N68" s="648">
        <v>40178</v>
      </c>
    </row>
    <row r="69" spans="1:14" x14ac:dyDescent="0.35">
      <c r="A69" s="647">
        <v>784</v>
      </c>
      <c r="B69" s="647" t="s">
        <v>4178</v>
      </c>
      <c r="C69" s="647" t="s">
        <v>4179</v>
      </c>
      <c r="D69" s="647" t="s">
        <v>2155</v>
      </c>
      <c r="E69" s="647" t="s">
        <v>2085</v>
      </c>
      <c r="F69" s="647">
        <v>95210</v>
      </c>
      <c r="G69" s="647" t="s">
        <v>4180</v>
      </c>
      <c r="H69" s="647" t="s">
        <v>3994</v>
      </c>
      <c r="I69" s="647" t="s">
        <v>4083</v>
      </c>
      <c r="J69" s="647">
        <v>1343337</v>
      </c>
      <c r="K69" s="647" t="s">
        <v>4181</v>
      </c>
      <c r="L69" s="647" t="s">
        <v>4182</v>
      </c>
      <c r="M69" s="647" t="s">
        <v>3826</v>
      </c>
      <c r="N69" s="648">
        <v>40330</v>
      </c>
    </row>
    <row r="70" spans="1:14" x14ac:dyDescent="0.35">
      <c r="A70" s="647">
        <v>788</v>
      </c>
      <c r="B70" s="649"/>
      <c r="C70" s="649"/>
      <c r="D70" s="649"/>
      <c r="E70" s="649"/>
      <c r="F70" s="649"/>
      <c r="G70" s="649"/>
      <c r="H70" s="649"/>
      <c r="I70" s="649"/>
      <c r="J70" s="647"/>
      <c r="K70" s="649"/>
      <c r="L70" s="649"/>
      <c r="M70" s="647" t="s">
        <v>3826</v>
      </c>
      <c r="N70" s="648" t="e">
        <v>#N/A</v>
      </c>
    </row>
    <row r="71" spans="1:14" x14ac:dyDescent="0.35">
      <c r="A71" s="647">
        <v>804</v>
      </c>
      <c r="B71" s="647" t="s">
        <v>4183</v>
      </c>
      <c r="C71" s="647" t="s">
        <v>4184</v>
      </c>
      <c r="D71" s="647" t="s">
        <v>2157</v>
      </c>
      <c r="E71" s="647" t="s">
        <v>2085</v>
      </c>
      <c r="F71" s="647">
        <v>93277</v>
      </c>
      <c r="G71" s="647" t="s">
        <v>4185</v>
      </c>
      <c r="H71" s="649"/>
      <c r="I71" s="649"/>
      <c r="J71" s="647">
        <v>8086851</v>
      </c>
      <c r="K71" s="647" t="s">
        <v>4030</v>
      </c>
      <c r="L71" s="647" t="s">
        <v>4031</v>
      </c>
      <c r="M71" s="647" t="s">
        <v>3826</v>
      </c>
      <c r="N71" s="648" t="e">
        <v>#N/A</v>
      </c>
    </row>
    <row r="72" spans="1:14" x14ac:dyDescent="0.35">
      <c r="A72" s="647">
        <v>832</v>
      </c>
      <c r="B72" s="647" t="s">
        <v>4186</v>
      </c>
      <c r="C72" s="647" t="s">
        <v>4187</v>
      </c>
      <c r="D72" s="647" t="s">
        <v>2159</v>
      </c>
      <c r="E72" s="647" t="s">
        <v>2085</v>
      </c>
      <c r="F72" s="647">
        <v>91801</v>
      </c>
      <c r="G72" s="647" t="s">
        <v>4188</v>
      </c>
      <c r="H72" s="649"/>
      <c r="I72" s="649"/>
      <c r="J72" s="647">
        <v>1831658</v>
      </c>
      <c r="K72" s="647" t="s">
        <v>4189</v>
      </c>
      <c r="L72" s="647" t="s">
        <v>4190</v>
      </c>
      <c r="M72" s="647" t="s">
        <v>4078</v>
      </c>
      <c r="N72" s="648" t="e">
        <v>#N/A</v>
      </c>
    </row>
    <row r="73" spans="1:14" x14ac:dyDescent="0.35">
      <c r="A73" s="647">
        <v>836</v>
      </c>
      <c r="B73" s="647" t="s">
        <v>4191</v>
      </c>
      <c r="C73" s="647" t="s">
        <v>4192</v>
      </c>
      <c r="D73" s="647" t="s">
        <v>2161</v>
      </c>
      <c r="E73" s="647" t="s">
        <v>2085</v>
      </c>
      <c r="F73" s="647">
        <v>90601</v>
      </c>
      <c r="G73" s="647" t="s">
        <v>4193</v>
      </c>
      <c r="H73" s="647" t="s">
        <v>3924</v>
      </c>
      <c r="I73" s="647" t="s">
        <v>3995</v>
      </c>
      <c r="J73" s="647">
        <v>5961641</v>
      </c>
      <c r="K73" s="647" t="s">
        <v>4044</v>
      </c>
      <c r="L73" s="647" t="s">
        <v>4194</v>
      </c>
      <c r="M73" s="647" t="s">
        <v>3836</v>
      </c>
      <c r="N73" s="648" t="e">
        <v>#N/A</v>
      </c>
    </row>
    <row r="74" spans="1:14" x14ac:dyDescent="0.35">
      <c r="A74" s="647">
        <v>856</v>
      </c>
      <c r="B74" s="647" t="s">
        <v>4195</v>
      </c>
      <c r="C74" s="647" t="s">
        <v>4196</v>
      </c>
      <c r="D74" s="647" t="s">
        <v>4197</v>
      </c>
      <c r="E74" s="647" t="s">
        <v>2085</v>
      </c>
      <c r="F74" s="647">
        <v>95695</v>
      </c>
      <c r="G74" s="647" t="s">
        <v>4198</v>
      </c>
      <c r="H74" s="649"/>
      <c r="I74" s="649"/>
      <c r="J74" s="647"/>
      <c r="K74" s="647" t="s">
        <v>4199</v>
      </c>
      <c r="L74" s="647" t="s">
        <v>4200</v>
      </c>
      <c r="M74" s="647" t="s">
        <v>3826</v>
      </c>
      <c r="N74" s="648" t="e">
        <v>#N/A</v>
      </c>
    </row>
    <row r="75" spans="1:14" x14ac:dyDescent="0.35">
      <c r="A75" s="647">
        <v>860</v>
      </c>
      <c r="B75" s="647" t="s">
        <v>4201</v>
      </c>
      <c r="C75" s="647" t="s">
        <v>4202</v>
      </c>
      <c r="D75" s="647" t="s">
        <v>4203</v>
      </c>
      <c r="E75" s="647" t="s">
        <v>2085</v>
      </c>
      <c r="F75" s="647">
        <v>95991</v>
      </c>
      <c r="G75" s="647" t="s">
        <v>4204</v>
      </c>
      <c r="H75" s="649"/>
      <c r="I75" s="649"/>
      <c r="J75" s="647"/>
      <c r="K75" s="647" t="s">
        <v>4205</v>
      </c>
      <c r="L75" s="647" t="s">
        <v>4206</v>
      </c>
      <c r="M75" s="647" t="s">
        <v>3826</v>
      </c>
      <c r="N75" s="648" t="e">
        <v>#N/A</v>
      </c>
    </row>
    <row r="76" spans="1:14" x14ac:dyDescent="0.35">
      <c r="A76" s="647">
        <v>869</v>
      </c>
      <c r="B76" s="647" t="s">
        <v>4207</v>
      </c>
      <c r="C76" s="647" t="s">
        <v>4208</v>
      </c>
      <c r="D76" s="647" t="s">
        <v>2163</v>
      </c>
      <c r="E76" s="647" t="s">
        <v>2164</v>
      </c>
      <c r="F76" s="647">
        <v>80301</v>
      </c>
      <c r="G76" s="647" t="s">
        <v>4209</v>
      </c>
      <c r="H76" s="647" t="s">
        <v>3994</v>
      </c>
      <c r="I76" s="647" t="s">
        <v>3977</v>
      </c>
      <c r="J76" s="647">
        <v>8116531</v>
      </c>
      <c r="K76" s="647" t="s">
        <v>3912</v>
      </c>
      <c r="L76" s="647" t="s">
        <v>4210</v>
      </c>
      <c r="M76" s="647" t="s">
        <v>3826</v>
      </c>
      <c r="N76" s="648">
        <v>40178</v>
      </c>
    </row>
    <row r="77" spans="1:14" x14ac:dyDescent="0.35">
      <c r="A77" s="647">
        <v>871</v>
      </c>
      <c r="B77" s="647" t="s">
        <v>4211</v>
      </c>
      <c r="C77" s="647" t="s">
        <v>4212</v>
      </c>
      <c r="D77" s="647" t="s">
        <v>2166</v>
      </c>
      <c r="E77" s="647" t="s">
        <v>2164</v>
      </c>
      <c r="F77" s="647">
        <v>80501</v>
      </c>
      <c r="G77" s="647" t="s">
        <v>4213</v>
      </c>
      <c r="H77" s="647" t="s">
        <v>3924</v>
      </c>
      <c r="I77" s="647" t="s">
        <v>3995</v>
      </c>
      <c r="J77" s="647">
        <v>2345713</v>
      </c>
      <c r="K77" s="647" t="s">
        <v>4214</v>
      </c>
      <c r="L77" s="647" t="s">
        <v>4215</v>
      </c>
      <c r="M77" s="647" t="s">
        <v>3826</v>
      </c>
      <c r="N77" s="648" t="e">
        <v>#N/A</v>
      </c>
    </row>
    <row r="78" spans="1:14" x14ac:dyDescent="0.35">
      <c r="A78" s="647">
        <v>873</v>
      </c>
      <c r="B78" s="647" t="s">
        <v>4216</v>
      </c>
      <c r="C78" s="647" t="s">
        <v>4217</v>
      </c>
      <c r="D78" s="647" t="s">
        <v>2168</v>
      </c>
      <c r="E78" s="647" t="s">
        <v>2164</v>
      </c>
      <c r="F78" s="647">
        <v>80903</v>
      </c>
      <c r="G78" s="647" t="s">
        <v>4218</v>
      </c>
      <c r="H78" s="647" t="s">
        <v>3994</v>
      </c>
      <c r="I78" s="647" t="s">
        <v>3977</v>
      </c>
      <c r="J78" s="647">
        <v>18009669</v>
      </c>
      <c r="K78" s="647" t="s">
        <v>4219</v>
      </c>
      <c r="L78" s="647" t="s">
        <v>4220</v>
      </c>
      <c r="M78" s="647" t="s">
        <v>4221</v>
      </c>
      <c r="N78" s="648">
        <v>40269</v>
      </c>
    </row>
    <row r="79" spans="1:14" x14ac:dyDescent="0.35">
      <c r="A79" s="647">
        <v>877</v>
      </c>
      <c r="B79" s="647" t="s">
        <v>4222</v>
      </c>
      <c r="C79" s="647" t="s">
        <v>4223</v>
      </c>
      <c r="D79" s="647" t="s">
        <v>2170</v>
      </c>
      <c r="E79" s="647" t="s">
        <v>2164</v>
      </c>
      <c r="F79" s="647">
        <v>80222</v>
      </c>
      <c r="G79" s="647" t="s">
        <v>4224</v>
      </c>
      <c r="H79" s="647" t="s">
        <v>3994</v>
      </c>
      <c r="I79" s="647" t="s">
        <v>3995</v>
      </c>
      <c r="J79" s="647">
        <v>17926896</v>
      </c>
      <c r="K79" s="647" t="s">
        <v>3835</v>
      </c>
      <c r="L79" s="647" t="s">
        <v>4225</v>
      </c>
      <c r="M79" s="647" t="s">
        <v>3826</v>
      </c>
      <c r="N79" s="648">
        <v>40269</v>
      </c>
    </row>
    <row r="80" spans="1:14" x14ac:dyDescent="0.35">
      <c r="A80" s="647">
        <v>899</v>
      </c>
      <c r="B80" s="647" t="s">
        <v>4226</v>
      </c>
      <c r="C80" s="647" t="s">
        <v>4227</v>
      </c>
      <c r="D80" s="647" t="s">
        <v>4228</v>
      </c>
      <c r="E80" s="647" t="s">
        <v>2164</v>
      </c>
      <c r="F80" s="647" t="s">
        <v>4229</v>
      </c>
      <c r="G80" s="647" t="s">
        <v>4230</v>
      </c>
      <c r="H80" s="649"/>
      <c r="I80" s="649"/>
      <c r="J80" s="647"/>
      <c r="K80" s="647" t="s">
        <v>4231</v>
      </c>
      <c r="L80" s="647" t="s">
        <v>4232</v>
      </c>
      <c r="M80" s="647" t="s">
        <v>3826</v>
      </c>
      <c r="N80" s="648" t="e">
        <v>#N/A</v>
      </c>
    </row>
    <row r="81" spans="1:14" x14ac:dyDescent="0.35">
      <c r="A81" s="647">
        <v>908</v>
      </c>
      <c r="B81" s="647" t="s">
        <v>4233</v>
      </c>
      <c r="C81" s="647" t="s">
        <v>4234</v>
      </c>
      <c r="D81" s="647" t="s">
        <v>2172</v>
      </c>
      <c r="E81" s="647" t="s">
        <v>2164</v>
      </c>
      <c r="F81" s="647">
        <v>80511</v>
      </c>
      <c r="G81" s="647" t="s">
        <v>4235</v>
      </c>
      <c r="H81" s="647" t="s">
        <v>4117</v>
      </c>
      <c r="I81" s="647" t="s">
        <v>3977</v>
      </c>
      <c r="J81" s="647">
        <v>29844756</v>
      </c>
      <c r="K81" s="647" t="s">
        <v>4236</v>
      </c>
      <c r="L81" s="647" t="s">
        <v>4237</v>
      </c>
      <c r="M81" s="647" t="s">
        <v>3826</v>
      </c>
      <c r="N81" s="648">
        <v>40452</v>
      </c>
    </row>
    <row r="82" spans="1:14" x14ac:dyDescent="0.35">
      <c r="A82" s="647">
        <v>913</v>
      </c>
      <c r="B82" s="647" t="s">
        <v>4238</v>
      </c>
      <c r="C82" s="647" t="s">
        <v>4239</v>
      </c>
      <c r="D82" s="647" t="s">
        <v>2174</v>
      </c>
      <c r="E82" s="647" t="s">
        <v>2164</v>
      </c>
      <c r="F82" s="647">
        <v>81003</v>
      </c>
      <c r="G82" s="647" t="s">
        <v>4240</v>
      </c>
      <c r="H82" s="647" t="s">
        <v>3924</v>
      </c>
      <c r="I82" s="647" t="s">
        <v>3977</v>
      </c>
      <c r="J82" s="647">
        <v>2084837</v>
      </c>
      <c r="K82" s="647" t="s">
        <v>4241</v>
      </c>
      <c r="L82" s="647" t="s">
        <v>4242</v>
      </c>
      <c r="M82" s="647" t="s">
        <v>3826</v>
      </c>
      <c r="N82" s="648">
        <v>40178</v>
      </c>
    </row>
    <row r="83" spans="1:14" x14ac:dyDescent="0.35">
      <c r="A83" s="647">
        <v>919</v>
      </c>
      <c r="B83" s="647" t="s">
        <v>4243</v>
      </c>
      <c r="C83" s="647" t="s">
        <v>4244</v>
      </c>
      <c r="D83" s="647" t="s">
        <v>4245</v>
      </c>
      <c r="E83" s="647" t="s">
        <v>2177</v>
      </c>
      <c r="F83" s="647">
        <v>6401</v>
      </c>
      <c r="G83" s="647" t="s">
        <v>4246</v>
      </c>
      <c r="H83" s="647" t="s">
        <v>4247</v>
      </c>
      <c r="I83" s="647" t="s">
        <v>4083</v>
      </c>
      <c r="J83" s="647"/>
      <c r="K83" s="647" t="s">
        <v>4248</v>
      </c>
      <c r="L83" s="647" t="s">
        <v>4249</v>
      </c>
      <c r="M83" s="647" t="s">
        <v>3826</v>
      </c>
      <c r="N83" s="648">
        <v>40359</v>
      </c>
    </row>
    <row r="84" spans="1:14" x14ac:dyDescent="0.35">
      <c r="A84" s="647">
        <v>923</v>
      </c>
      <c r="B84" s="647" t="s">
        <v>4250</v>
      </c>
      <c r="C84" s="647" t="s">
        <v>4251</v>
      </c>
      <c r="D84" s="647" t="s">
        <v>2176</v>
      </c>
      <c r="E84" s="647" t="s">
        <v>2177</v>
      </c>
      <c r="F84" s="647">
        <v>6511</v>
      </c>
      <c r="G84" s="647" t="s">
        <v>4252</v>
      </c>
      <c r="H84" s="647" t="s">
        <v>4247</v>
      </c>
      <c r="I84" s="647" t="s">
        <v>4253</v>
      </c>
      <c r="J84" s="647">
        <v>23546111</v>
      </c>
      <c r="K84" s="647" t="s">
        <v>4176</v>
      </c>
      <c r="L84" s="647" t="s">
        <v>4254</v>
      </c>
      <c r="M84" s="647" t="s">
        <v>3836</v>
      </c>
      <c r="N84" s="648">
        <v>40299</v>
      </c>
    </row>
    <row r="85" spans="1:14" x14ac:dyDescent="0.35">
      <c r="A85" s="647">
        <v>930</v>
      </c>
      <c r="B85" s="647" t="s">
        <v>4255</v>
      </c>
      <c r="C85" s="647" t="s">
        <v>4256</v>
      </c>
      <c r="D85" s="647" t="s">
        <v>2179</v>
      </c>
      <c r="E85" s="647" t="s">
        <v>2180</v>
      </c>
      <c r="F85" s="647" t="s">
        <v>4257</v>
      </c>
      <c r="G85" s="647" t="s">
        <v>4258</v>
      </c>
      <c r="H85" s="649"/>
      <c r="I85" s="649"/>
      <c r="J85" s="647">
        <v>2039470</v>
      </c>
      <c r="K85" s="647" t="s">
        <v>4259</v>
      </c>
      <c r="L85" s="647" t="s">
        <v>4260</v>
      </c>
      <c r="M85" s="647" t="s">
        <v>3826</v>
      </c>
      <c r="N85" s="648" t="e">
        <v>#N/A</v>
      </c>
    </row>
    <row r="86" spans="1:14" x14ac:dyDescent="0.35">
      <c r="A86" s="647">
        <v>951</v>
      </c>
      <c r="B86" s="647" t="s">
        <v>4261</v>
      </c>
      <c r="C86" s="647" t="s">
        <v>4262</v>
      </c>
      <c r="D86" s="647" t="s">
        <v>2182</v>
      </c>
      <c r="E86" s="647" t="s">
        <v>2177</v>
      </c>
      <c r="F86" s="647">
        <v>6830</v>
      </c>
      <c r="G86" s="647" t="s">
        <v>4263</v>
      </c>
      <c r="H86" s="647" t="s">
        <v>4247</v>
      </c>
      <c r="I86" s="647" t="s">
        <v>4264</v>
      </c>
      <c r="J86" s="647">
        <v>4666788</v>
      </c>
      <c r="K86" s="647" t="s">
        <v>4265</v>
      </c>
      <c r="L86" s="647" t="s">
        <v>4266</v>
      </c>
      <c r="M86" s="647" t="s">
        <v>3826</v>
      </c>
      <c r="N86" s="648">
        <v>40179</v>
      </c>
    </row>
    <row r="87" spans="1:14" x14ac:dyDescent="0.35">
      <c r="A87" s="647">
        <v>953</v>
      </c>
      <c r="B87" s="647" t="s">
        <v>4267</v>
      </c>
      <c r="C87" s="647" t="s">
        <v>4268</v>
      </c>
      <c r="D87" s="647" t="s">
        <v>2184</v>
      </c>
      <c r="E87" s="647" t="s">
        <v>2177</v>
      </c>
      <c r="F87" s="647">
        <v>6412</v>
      </c>
      <c r="G87" s="647" t="s">
        <v>4269</v>
      </c>
      <c r="H87" s="649"/>
      <c r="I87" s="649"/>
      <c r="J87" s="647">
        <v>2197723</v>
      </c>
      <c r="K87" s="647" t="s">
        <v>4270</v>
      </c>
      <c r="L87" s="647" t="s">
        <v>4271</v>
      </c>
      <c r="M87" s="647" t="s">
        <v>3826</v>
      </c>
      <c r="N87" s="648" t="e">
        <v>#N/A</v>
      </c>
    </row>
    <row r="88" spans="1:14" x14ac:dyDescent="0.35">
      <c r="A88" s="647">
        <v>957</v>
      </c>
      <c r="B88" s="647" t="s">
        <v>4272</v>
      </c>
      <c r="C88" s="647" t="s">
        <v>4273</v>
      </c>
      <c r="D88" s="647" t="s">
        <v>2186</v>
      </c>
      <c r="E88" s="647" t="s">
        <v>2177</v>
      </c>
      <c r="F88" s="647">
        <v>6759</v>
      </c>
      <c r="G88" s="647" t="s">
        <v>4274</v>
      </c>
      <c r="H88" s="647" t="s">
        <v>4247</v>
      </c>
      <c r="I88" s="647" t="s">
        <v>4253</v>
      </c>
      <c r="J88" s="647">
        <v>1095773</v>
      </c>
      <c r="K88" s="647" t="s">
        <v>3984</v>
      </c>
      <c r="L88" s="647" t="s">
        <v>4275</v>
      </c>
      <c r="M88" s="647" t="s">
        <v>3826</v>
      </c>
      <c r="N88" s="648">
        <v>40269</v>
      </c>
    </row>
    <row r="89" spans="1:14" x14ac:dyDescent="0.35">
      <c r="A89" s="647">
        <v>959</v>
      </c>
      <c r="B89" s="647" t="s">
        <v>4276</v>
      </c>
      <c r="C89" s="647" t="s">
        <v>4277</v>
      </c>
      <c r="D89" s="647" t="s">
        <v>2188</v>
      </c>
      <c r="E89" s="647" t="s">
        <v>2177</v>
      </c>
      <c r="F89" s="647">
        <v>6103</v>
      </c>
      <c r="G89" s="647" t="s">
        <v>4278</v>
      </c>
      <c r="H89" s="647" t="s">
        <v>4247</v>
      </c>
      <c r="I89" s="647" t="s">
        <v>4279</v>
      </c>
      <c r="J89" s="647">
        <v>25456424</v>
      </c>
      <c r="K89" s="647" t="s">
        <v>4280</v>
      </c>
      <c r="L89" s="647" t="s">
        <v>2227</v>
      </c>
      <c r="M89" s="647" t="s">
        <v>3826</v>
      </c>
      <c r="N89" s="648">
        <v>40178</v>
      </c>
    </row>
    <row r="90" spans="1:14" x14ac:dyDescent="0.35">
      <c r="A90" s="647">
        <v>975</v>
      </c>
      <c r="B90" s="647" t="s">
        <v>4281</v>
      </c>
      <c r="C90" s="647" t="s">
        <v>4282</v>
      </c>
      <c r="D90" s="647" t="s">
        <v>2190</v>
      </c>
      <c r="E90" s="647" t="s">
        <v>2177</v>
      </c>
      <c r="F90" s="647">
        <v>6451</v>
      </c>
      <c r="G90" s="647" t="s">
        <v>4283</v>
      </c>
      <c r="H90" s="647" t="s">
        <v>4247</v>
      </c>
      <c r="I90" s="647" t="s">
        <v>4264</v>
      </c>
      <c r="J90" s="647">
        <v>2992103</v>
      </c>
      <c r="K90" s="647" t="s">
        <v>4259</v>
      </c>
      <c r="L90" s="647" t="s">
        <v>4284</v>
      </c>
      <c r="M90" s="647" t="s">
        <v>4078</v>
      </c>
      <c r="N90" s="648">
        <v>40397</v>
      </c>
    </row>
    <row r="91" spans="1:14" x14ac:dyDescent="0.35">
      <c r="A91" s="647">
        <v>981</v>
      </c>
      <c r="B91" s="647" t="s">
        <v>4285</v>
      </c>
      <c r="C91" s="647" t="s">
        <v>4286</v>
      </c>
      <c r="D91" s="647" t="s">
        <v>2192</v>
      </c>
      <c r="E91" s="647" t="s">
        <v>2177</v>
      </c>
      <c r="F91" s="647">
        <v>6770</v>
      </c>
      <c r="G91" s="647" t="s">
        <v>4287</v>
      </c>
      <c r="H91" s="649"/>
      <c r="I91" s="649"/>
      <c r="J91" s="647">
        <v>1259467</v>
      </c>
      <c r="K91" s="647" t="s">
        <v>4288</v>
      </c>
      <c r="L91" s="647" t="s">
        <v>4289</v>
      </c>
      <c r="M91" s="647" t="s">
        <v>3826</v>
      </c>
      <c r="N91" s="648" t="e">
        <v>#N/A</v>
      </c>
    </row>
    <row r="92" spans="1:14" x14ac:dyDescent="0.35">
      <c r="A92" s="647">
        <v>985</v>
      </c>
      <c r="B92" s="647" t="s">
        <v>4290</v>
      </c>
      <c r="C92" s="647" t="s">
        <v>4291</v>
      </c>
      <c r="D92" s="647" t="s">
        <v>2194</v>
      </c>
      <c r="E92" s="647" t="s">
        <v>2177</v>
      </c>
      <c r="F92" s="647">
        <v>6051</v>
      </c>
      <c r="G92" s="647" t="s">
        <v>4292</v>
      </c>
      <c r="H92" s="647" t="s">
        <v>4247</v>
      </c>
      <c r="I92" s="647" t="s">
        <v>4083</v>
      </c>
      <c r="J92" s="647">
        <v>2881895</v>
      </c>
      <c r="K92" s="647" t="s">
        <v>4293</v>
      </c>
      <c r="L92" s="647" t="s">
        <v>4294</v>
      </c>
      <c r="M92" s="647" t="s">
        <v>3892</v>
      </c>
      <c r="N92" s="648" t="e">
        <v>#N/A</v>
      </c>
    </row>
    <row r="93" spans="1:14" x14ac:dyDescent="0.35">
      <c r="A93" s="647">
        <v>989</v>
      </c>
      <c r="B93" s="647" t="s">
        <v>4295</v>
      </c>
      <c r="C93" s="647" t="s">
        <v>4296</v>
      </c>
      <c r="D93" s="647" t="s">
        <v>2196</v>
      </c>
      <c r="E93" s="647" t="s">
        <v>2177</v>
      </c>
      <c r="F93" s="647">
        <v>6840</v>
      </c>
      <c r="G93" s="647" t="s">
        <v>4297</v>
      </c>
      <c r="H93" s="647" t="s">
        <v>4247</v>
      </c>
      <c r="I93" s="647" t="s">
        <v>4279</v>
      </c>
      <c r="J93" s="647">
        <v>9075205</v>
      </c>
      <c r="K93" s="647" t="s">
        <v>4129</v>
      </c>
      <c r="L93" s="647" t="s">
        <v>4298</v>
      </c>
      <c r="M93" s="647" t="s">
        <v>4078</v>
      </c>
      <c r="N93" s="648">
        <v>40268</v>
      </c>
    </row>
    <row r="94" spans="1:14" x14ac:dyDescent="0.35">
      <c r="A94" s="647">
        <v>1017</v>
      </c>
      <c r="B94" s="647" t="s">
        <v>4299</v>
      </c>
      <c r="C94" s="647" t="s">
        <v>4300</v>
      </c>
      <c r="D94" s="647" t="s">
        <v>2198</v>
      </c>
      <c r="E94" s="647" t="s">
        <v>2177</v>
      </c>
      <c r="F94" s="647">
        <v>6457</v>
      </c>
      <c r="G94" s="647" t="s">
        <v>4301</v>
      </c>
      <c r="H94" s="647" t="s">
        <v>4247</v>
      </c>
      <c r="I94" s="647" t="s">
        <v>4253</v>
      </c>
      <c r="J94" s="647">
        <v>6352237</v>
      </c>
      <c r="K94" s="647" t="s">
        <v>4302</v>
      </c>
      <c r="L94" s="647" t="s">
        <v>4303</v>
      </c>
      <c r="M94" s="647" t="s">
        <v>3826</v>
      </c>
      <c r="N94" s="648">
        <v>40269</v>
      </c>
    </row>
    <row r="95" spans="1:14" x14ac:dyDescent="0.35">
      <c r="A95" s="647">
        <v>1021</v>
      </c>
      <c r="B95" s="647" t="s">
        <v>4304</v>
      </c>
      <c r="C95" s="647" t="s">
        <v>4305</v>
      </c>
      <c r="D95" s="647" t="s">
        <v>2200</v>
      </c>
      <c r="E95" s="647" t="s">
        <v>2177</v>
      </c>
      <c r="F95" s="647">
        <v>6850</v>
      </c>
      <c r="G95" s="647" t="s">
        <v>4306</v>
      </c>
      <c r="H95" s="647" t="s">
        <v>4247</v>
      </c>
      <c r="I95" s="647" t="s">
        <v>4253</v>
      </c>
      <c r="J95" s="647">
        <v>3183473</v>
      </c>
      <c r="K95" s="647" t="s">
        <v>4044</v>
      </c>
      <c r="L95" s="647" t="s">
        <v>4307</v>
      </c>
      <c r="M95" s="647" t="s">
        <v>4308</v>
      </c>
      <c r="N95" s="648" t="e">
        <v>#N/A</v>
      </c>
    </row>
    <row r="96" spans="1:14" x14ac:dyDescent="0.35">
      <c r="A96" s="647">
        <v>1025</v>
      </c>
      <c r="B96" s="647" t="s">
        <v>4309</v>
      </c>
      <c r="C96" s="647" t="s">
        <v>4310</v>
      </c>
      <c r="D96" s="647" t="s">
        <v>2202</v>
      </c>
      <c r="E96" s="647" t="s">
        <v>2177</v>
      </c>
      <c r="F96" s="647">
        <v>6897</v>
      </c>
      <c r="G96" s="647" t="s">
        <v>4311</v>
      </c>
      <c r="H96" s="647" t="s">
        <v>4247</v>
      </c>
      <c r="I96" s="647" t="s">
        <v>4264</v>
      </c>
      <c r="J96" s="647">
        <v>5914735</v>
      </c>
      <c r="K96" s="647" t="s">
        <v>3956</v>
      </c>
      <c r="L96" s="647" t="s">
        <v>4312</v>
      </c>
      <c r="M96" s="647" t="s">
        <v>4078</v>
      </c>
      <c r="N96" s="648">
        <v>40176</v>
      </c>
    </row>
    <row r="97" spans="1:14" x14ac:dyDescent="0.35">
      <c r="A97" s="647">
        <v>1031</v>
      </c>
      <c r="B97" s="647" t="s">
        <v>4313</v>
      </c>
      <c r="C97" s="647" t="s">
        <v>4314</v>
      </c>
      <c r="D97" s="647" t="s">
        <v>2204</v>
      </c>
      <c r="E97" s="647" t="s">
        <v>2177</v>
      </c>
      <c r="F97" s="647">
        <v>6360</v>
      </c>
      <c r="G97" s="647" t="s">
        <v>4315</v>
      </c>
      <c r="H97" s="647" t="s">
        <v>4247</v>
      </c>
      <c r="I97" s="647" t="s">
        <v>4253</v>
      </c>
      <c r="J97" s="647"/>
      <c r="K97" s="647" t="s">
        <v>4316</v>
      </c>
      <c r="L97" s="647" t="s">
        <v>3945</v>
      </c>
      <c r="M97" s="647" t="s">
        <v>4317</v>
      </c>
      <c r="N97" s="648">
        <v>40057</v>
      </c>
    </row>
    <row r="98" spans="1:14" x14ac:dyDescent="0.35">
      <c r="A98" s="647">
        <v>1033</v>
      </c>
      <c r="B98" s="647" t="s">
        <v>4318</v>
      </c>
      <c r="C98" s="647" t="s">
        <v>4319</v>
      </c>
      <c r="D98" s="647" t="s">
        <v>2206</v>
      </c>
      <c r="E98" s="647" t="s">
        <v>2177</v>
      </c>
      <c r="F98" s="647">
        <v>6804</v>
      </c>
      <c r="G98" s="647" t="s">
        <v>4320</v>
      </c>
      <c r="H98" s="647" t="s">
        <v>4247</v>
      </c>
      <c r="I98" s="647" t="s">
        <v>4253</v>
      </c>
      <c r="J98" s="647">
        <v>7745202</v>
      </c>
      <c r="K98" s="647" t="s">
        <v>4321</v>
      </c>
      <c r="L98" s="647" t="s">
        <v>4322</v>
      </c>
      <c r="M98" s="647" t="s">
        <v>3826</v>
      </c>
      <c r="N98" s="648">
        <v>40178</v>
      </c>
    </row>
    <row r="99" spans="1:14" x14ac:dyDescent="0.35">
      <c r="A99" s="647">
        <v>1037</v>
      </c>
      <c r="B99" s="647" t="s">
        <v>4323</v>
      </c>
      <c r="C99" s="647" t="s">
        <v>4324</v>
      </c>
      <c r="D99" s="647" t="s">
        <v>2208</v>
      </c>
      <c r="E99" s="647" t="s">
        <v>2177</v>
      </c>
      <c r="F99" s="647">
        <v>62863</v>
      </c>
      <c r="G99" s="647" t="s">
        <v>4325</v>
      </c>
      <c r="H99" s="647" t="s">
        <v>4247</v>
      </c>
      <c r="I99" s="647" t="s">
        <v>4083</v>
      </c>
      <c r="J99" s="647">
        <v>3772728</v>
      </c>
      <c r="K99" s="647" t="s">
        <v>3978</v>
      </c>
      <c r="L99" s="647" t="s">
        <v>4326</v>
      </c>
      <c r="M99" s="647" t="s">
        <v>3826</v>
      </c>
      <c r="N99" s="648" t="e">
        <v>#N/A</v>
      </c>
    </row>
    <row r="100" spans="1:14" x14ac:dyDescent="0.35">
      <c r="A100" s="647">
        <v>1041</v>
      </c>
      <c r="B100" s="647" t="s">
        <v>4327</v>
      </c>
      <c r="C100" s="647" t="s">
        <v>4328</v>
      </c>
      <c r="D100" s="647" t="s">
        <v>2210</v>
      </c>
      <c r="E100" s="647" t="s">
        <v>2177</v>
      </c>
      <c r="F100" s="647">
        <v>6489</v>
      </c>
      <c r="G100" s="647" t="s">
        <v>4329</v>
      </c>
      <c r="H100" s="647" t="s">
        <v>4247</v>
      </c>
      <c r="I100" s="647" t="s">
        <v>4253</v>
      </c>
      <c r="J100" s="647">
        <v>8456170</v>
      </c>
      <c r="K100" s="647" t="s">
        <v>4259</v>
      </c>
      <c r="L100" s="647" t="s">
        <v>4330</v>
      </c>
      <c r="M100" s="647" t="s">
        <v>3826</v>
      </c>
      <c r="N100" s="648">
        <v>40179</v>
      </c>
    </row>
    <row r="101" spans="1:14" x14ac:dyDescent="0.35">
      <c r="A101" s="647">
        <v>1045</v>
      </c>
      <c r="B101" s="647" t="s">
        <v>4331</v>
      </c>
      <c r="C101" s="647" t="s">
        <v>4332</v>
      </c>
      <c r="D101" s="647" t="s">
        <v>2212</v>
      </c>
      <c r="E101" s="647" t="s">
        <v>2177</v>
      </c>
      <c r="F101" s="647">
        <v>6901</v>
      </c>
      <c r="G101" s="647" t="s">
        <v>4333</v>
      </c>
      <c r="H101" s="647" t="s">
        <v>4247</v>
      </c>
      <c r="I101" s="647" t="s">
        <v>4264</v>
      </c>
      <c r="J101" s="647">
        <v>1163415</v>
      </c>
      <c r="K101" s="647" t="s">
        <v>3860</v>
      </c>
      <c r="L101" s="647" t="s">
        <v>4334</v>
      </c>
      <c r="M101" s="647" t="s">
        <v>3826</v>
      </c>
      <c r="N101" s="648">
        <v>40360</v>
      </c>
    </row>
    <row r="102" spans="1:14" x14ac:dyDescent="0.35">
      <c r="A102" s="647">
        <v>1049</v>
      </c>
      <c r="B102" s="647" t="s">
        <v>4335</v>
      </c>
      <c r="C102" s="647" t="s">
        <v>4336</v>
      </c>
      <c r="D102" s="647" t="s">
        <v>2214</v>
      </c>
      <c r="E102" s="647" t="s">
        <v>2177</v>
      </c>
      <c r="F102" s="647">
        <v>6820</v>
      </c>
      <c r="G102" s="647" t="s">
        <v>4337</v>
      </c>
      <c r="H102" s="649"/>
      <c r="I102" s="649"/>
      <c r="J102" s="647">
        <v>8024014</v>
      </c>
      <c r="K102" s="647" t="s">
        <v>4259</v>
      </c>
      <c r="L102" s="647" t="s">
        <v>4338</v>
      </c>
      <c r="M102" s="647" t="s">
        <v>3826</v>
      </c>
      <c r="N102" s="648" t="e">
        <v>#N/A</v>
      </c>
    </row>
    <row r="103" spans="1:14" x14ac:dyDescent="0.35">
      <c r="A103" s="647">
        <v>1055</v>
      </c>
      <c r="B103" s="647" t="s">
        <v>4339</v>
      </c>
      <c r="C103" s="647" t="s">
        <v>4340</v>
      </c>
      <c r="D103" s="647" t="s">
        <v>2216</v>
      </c>
      <c r="E103" s="647" t="s">
        <v>2177</v>
      </c>
      <c r="F103" s="647">
        <v>6790</v>
      </c>
      <c r="G103" s="647" t="s">
        <v>4341</v>
      </c>
      <c r="H103" s="647" t="s">
        <v>4247</v>
      </c>
      <c r="I103" s="647" t="s">
        <v>4279</v>
      </c>
      <c r="J103" s="647">
        <v>3835724</v>
      </c>
      <c r="K103" s="647" t="s">
        <v>3926</v>
      </c>
      <c r="L103" s="647" t="s">
        <v>4342</v>
      </c>
      <c r="M103" s="647" t="s">
        <v>3826</v>
      </c>
      <c r="N103" s="648">
        <v>40178</v>
      </c>
    </row>
    <row r="104" spans="1:14" x14ac:dyDescent="0.35">
      <c r="A104" s="647">
        <v>1061</v>
      </c>
      <c r="B104" s="647" t="s">
        <v>4343</v>
      </c>
      <c r="C104" s="647" t="s">
        <v>4344</v>
      </c>
      <c r="D104" s="647" t="s">
        <v>2218</v>
      </c>
      <c r="E104" s="647" t="s">
        <v>2177</v>
      </c>
      <c r="F104" s="647">
        <v>6492</v>
      </c>
      <c r="G104" s="647" t="s">
        <v>4345</v>
      </c>
      <c r="H104" s="649"/>
      <c r="I104" s="649"/>
      <c r="J104" s="647">
        <v>3295410</v>
      </c>
      <c r="K104" s="647" t="s">
        <v>4346</v>
      </c>
      <c r="L104" s="647" t="s">
        <v>4347</v>
      </c>
      <c r="M104" s="647" t="s">
        <v>3826</v>
      </c>
      <c r="N104" s="648" t="e">
        <v>#N/A</v>
      </c>
    </row>
    <row r="105" spans="1:14" x14ac:dyDescent="0.35">
      <c r="A105" s="647">
        <v>1065</v>
      </c>
      <c r="B105" s="647" t="s">
        <v>4348</v>
      </c>
      <c r="C105" s="647" t="s">
        <v>4349</v>
      </c>
      <c r="D105" s="647" t="s">
        <v>2220</v>
      </c>
      <c r="E105" s="647" t="s">
        <v>2177</v>
      </c>
      <c r="F105" s="647">
        <v>6702</v>
      </c>
      <c r="G105" s="647" t="s">
        <v>4350</v>
      </c>
      <c r="H105" s="647" t="s">
        <v>4247</v>
      </c>
      <c r="I105" s="647" t="s">
        <v>4264</v>
      </c>
      <c r="J105" s="647">
        <v>5626790</v>
      </c>
      <c r="K105" s="647" t="s">
        <v>3835</v>
      </c>
      <c r="L105" s="647" t="s">
        <v>4351</v>
      </c>
      <c r="M105" s="647" t="s">
        <v>4352</v>
      </c>
      <c r="N105" s="648">
        <v>40452</v>
      </c>
    </row>
    <row r="106" spans="1:14" x14ac:dyDescent="0.35">
      <c r="A106" s="647">
        <v>1069</v>
      </c>
      <c r="B106" s="647" t="s">
        <v>4353</v>
      </c>
      <c r="C106" s="647" t="s">
        <v>4354</v>
      </c>
      <c r="D106" s="647" t="s">
        <v>2222</v>
      </c>
      <c r="E106" s="647" t="s">
        <v>2177</v>
      </c>
      <c r="F106" s="647">
        <v>6881</v>
      </c>
      <c r="G106" s="647" t="s">
        <v>4355</v>
      </c>
      <c r="H106" s="647" t="s">
        <v>4247</v>
      </c>
      <c r="I106" s="647" t="s">
        <v>4264</v>
      </c>
      <c r="J106" s="647">
        <v>6317026</v>
      </c>
      <c r="K106" s="647" t="s">
        <v>3830</v>
      </c>
      <c r="L106" s="647" t="s">
        <v>4356</v>
      </c>
      <c r="M106" s="647" t="s">
        <v>3826</v>
      </c>
      <c r="N106" s="648">
        <v>40269</v>
      </c>
    </row>
    <row r="107" spans="1:14" x14ac:dyDescent="0.35">
      <c r="A107" s="647">
        <v>1086</v>
      </c>
      <c r="B107" s="647" t="s">
        <v>4357</v>
      </c>
      <c r="C107" s="647" t="s">
        <v>4358</v>
      </c>
      <c r="D107" s="647" t="s">
        <v>2224</v>
      </c>
      <c r="E107" s="647" t="s">
        <v>2225</v>
      </c>
      <c r="F107" s="647">
        <v>19801</v>
      </c>
      <c r="G107" s="647" t="s">
        <v>4359</v>
      </c>
      <c r="H107" s="647" t="s">
        <v>3822</v>
      </c>
      <c r="I107" s="647" t="s">
        <v>3995</v>
      </c>
      <c r="J107" s="647">
        <v>36292240</v>
      </c>
      <c r="K107" s="647" t="s">
        <v>4044</v>
      </c>
      <c r="L107" s="647" t="s">
        <v>4360</v>
      </c>
      <c r="M107" s="647" t="s">
        <v>3826</v>
      </c>
      <c r="N107" s="648">
        <v>40391</v>
      </c>
    </row>
    <row r="108" spans="1:14" x14ac:dyDescent="0.35">
      <c r="A108" s="647">
        <v>1111</v>
      </c>
      <c r="B108" s="647" t="s">
        <v>4361</v>
      </c>
      <c r="C108" s="647" t="s">
        <v>4362</v>
      </c>
      <c r="D108" s="647" t="s">
        <v>2227</v>
      </c>
      <c r="E108" s="647" t="s">
        <v>2228</v>
      </c>
      <c r="F108" s="647">
        <v>20036</v>
      </c>
      <c r="G108" s="647" t="s">
        <v>4363</v>
      </c>
      <c r="H108" s="647" t="s">
        <v>3822</v>
      </c>
      <c r="I108" s="647" t="s">
        <v>4083</v>
      </c>
      <c r="J108" s="647">
        <v>48253062</v>
      </c>
      <c r="K108" s="647" t="s">
        <v>4364</v>
      </c>
      <c r="L108" s="647" t="s">
        <v>4365</v>
      </c>
      <c r="M108" s="647" t="s">
        <v>3826</v>
      </c>
      <c r="N108" s="648">
        <v>40299</v>
      </c>
    </row>
    <row r="109" spans="1:14" x14ac:dyDescent="0.35">
      <c r="A109" s="647">
        <v>1160</v>
      </c>
      <c r="B109" s="647" t="s">
        <v>4366</v>
      </c>
      <c r="C109" s="647" t="s">
        <v>4367</v>
      </c>
      <c r="D109" s="647" t="s">
        <v>2230</v>
      </c>
      <c r="E109" s="647" t="s">
        <v>2231</v>
      </c>
      <c r="F109" s="647">
        <v>33433</v>
      </c>
      <c r="G109" s="647" t="s">
        <v>4368</v>
      </c>
      <c r="H109" s="647" t="s">
        <v>3994</v>
      </c>
      <c r="I109" s="647" t="s">
        <v>3937</v>
      </c>
      <c r="J109" s="647">
        <v>8581652</v>
      </c>
      <c r="K109" s="647" t="s">
        <v>4369</v>
      </c>
      <c r="L109" s="647" t="s">
        <v>4370</v>
      </c>
      <c r="M109" s="647" t="s">
        <v>3826</v>
      </c>
      <c r="N109" s="648">
        <v>40495</v>
      </c>
    </row>
    <row r="110" spans="1:14" x14ac:dyDescent="0.35">
      <c r="A110" s="647">
        <v>1177</v>
      </c>
      <c r="B110" s="647" t="s">
        <v>4371</v>
      </c>
      <c r="C110" s="647" t="s">
        <v>4372</v>
      </c>
      <c r="D110" s="647" t="s">
        <v>2233</v>
      </c>
      <c r="E110" s="647" t="s">
        <v>2231</v>
      </c>
      <c r="F110" s="647">
        <v>33312</v>
      </c>
      <c r="G110" s="647" t="s">
        <v>4373</v>
      </c>
      <c r="H110" s="647" t="s">
        <v>3994</v>
      </c>
      <c r="I110" s="647" t="s">
        <v>3823</v>
      </c>
      <c r="J110" s="647">
        <v>19029558</v>
      </c>
      <c r="K110" s="647" t="s">
        <v>4374</v>
      </c>
      <c r="L110" s="647" t="s">
        <v>4375</v>
      </c>
      <c r="M110" s="647" t="s">
        <v>3826</v>
      </c>
      <c r="N110" s="648">
        <v>40268</v>
      </c>
    </row>
    <row r="111" spans="1:14" x14ac:dyDescent="0.35">
      <c r="A111" s="647">
        <v>1193</v>
      </c>
      <c r="B111" s="647" t="s">
        <v>4376</v>
      </c>
      <c r="C111" s="647" t="s">
        <v>4377</v>
      </c>
      <c r="D111" s="647" t="s">
        <v>2235</v>
      </c>
      <c r="E111" s="647" t="s">
        <v>2231</v>
      </c>
      <c r="F111" s="647" t="s">
        <v>4378</v>
      </c>
      <c r="G111" s="647" t="s">
        <v>4379</v>
      </c>
      <c r="H111" s="647" t="s">
        <v>3994</v>
      </c>
      <c r="I111" s="647" t="s">
        <v>3937</v>
      </c>
      <c r="J111" s="647">
        <v>23593219</v>
      </c>
      <c r="K111" s="647" t="s">
        <v>3855</v>
      </c>
      <c r="L111" s="647" t="s">
        <v>4380</v>
      </c>
      <c r="M111" s="647" t="s">
        <v>3826</v>
      </c>
      <c r="N111" s="648">
        <v>40329</v>
      </c>
    </row>
    <row r="112" spans="1:14" x14ac:dyDescent="0.35">
      <c r="A112" s="647">
        <v>1197</v>
      </c>
      <c r="B112" s="647" t="s">
        <v>4381</v>
      </c>
      <c r="C112" s="647" t="s">
        <v>4382</v>
      </c>
      <c r="D112" s="647" t="s">
        <v>4383</v>
      </c>
      <c r="E112" s="647" t="s">
        <v>2231</v>
      </c>
      <c r="F112" s="647">
        <v>32117</v>
      </c>
      <c r="G112" s="647" t="s">
        <v>4384</v>
      </c>
      <c r="H112" s="647" t="s">
        <v>3994</v>
      </c>
      <c r="I112" s="647" t="s">
        <v>3937</v>
      </c>
      <c r="J112" s="647"/>
      <c r="K112" s="647" t="s">
        <v>4385</v>
      </c>
      <c r="L112" s="647" t="s">
        <v>4386</v>
      </c>
      <c r="M112" s="647" t="s">
        <v>3908</v>
      </c>
      <c r="N112" s="648" t="e">
        <v>#N/A</v>
      </c>
    </row>
    <row r="113" spans="1:14" x14ac:dyDescent="0.35">
      <c r="A113" s="647">
        <v>1201</v>
      </c>
      <c r="B113" s="647" t="s">
        <v>4387</v>
      </c>
      <c r="C113" s="647" t="s">
        <v>4388</v>
      </c>
      <c r="D113" s="647" t="s">
        <v>2237</v>
      </c>
      <c r="E113" s="647" t="s">
        <v>2231</v>
      </c>
      <c r="F113" s="647">
        <v>33919</v>
      </c>
      <c r="G113" s="647" t="s">
        <v>4389</v>
      </c>
      <c r="H113" s="647" t="s">
        <v>3931</v>
      </c>
      <c r="I113" s="647" t="s">
        <v>3937</v>
      </c>
      <c r="J113" s="647">
        <v>1381105</v>
      </c>
      <c r="K113" s="647" t="s">
        <v>3835</v>
      </c>
      <c r="L113" s="647" t="s">
        <v>4390</v>
      </c>
      <c r="M113" s="647" t="s">
        <v>3826</v>
      </c>
      <c r="N113" s="648">
        <v>40268</v>
      </c>
    </row>
    <row r="114" spans="1:14" x14ac:dyDescent="0.35">
      <c r="A114" s="647">
        <v>1209</v>
      </c>
      <c r="B114" s="647" t="s">
        <v>4391</v>
      </c>
      <c r="C114" s="647" t="s">
        <v>4392</v>
      </c>
      <c r="D114" s="647" t="s">
        <v>2239</v>
      </c>
      <c r="E114" s="647" t="s">
        <v>2231</v>
      </c>
      <c r="F114" s="647">
        <v>32605</v>
      </c>
      <c r="G114" s="647" t="s">
        <v>4393</v>
      </c>
      <c r="H114" s="647" t="s">
        <v>3931</v>
      </c>
      <c r="I114" s="647" t="s">
        <v>3937</v>
      </c>
      <c r="J114" s="647">
        <v>3580731</v>
      </c>
      <c r="K114" s="647" t="s">
        <v>4394</v>
      </c>
      <c r="L114" s="647" t="s">
        <v>4395</v>
      </c>
      <c r="M114" s="647" t="s">
        <v>3826</v>
      </c>
      <c r="N114" s="648">
        <v>40360</v>
      </c>
    </row>
    <row r="115" spans="1:14" x14ac:dyDescent="0.35">
      <c r="A115" s="647">
        <v>1216</v>
      </c>
      <c r="B115" s="647" t="s">
        <v>4396</v>
      </c>
      <c r="C115" s="647" t="s">
        <v>4397</v>
      </c>
      <c r="D115" s="647" t="s">
        <v>2241</v>
      </c>
      <c r="E115" s="647" t="s">
        <v>2231</v>
      </c>
      <c r="F115" s="647">
        <v>32548</v>
      </c>
      <c r="G115" s="647" t="s">
        <v>4398</v>
      </c>
      <c r="H115" s="647" t="s">
        <v>3931</v>
      </c>
      <c r="I115" s="647" t="s">
        <v>3823</v>
      </c>
      <c r="J115" s="647">
        <v>3016165</v>
      </c>
      <c r="K115" s="647" t="s">
        <v>4399</v>
      </c>
      <c r="L115" s="647" t="s">
        <v>4400</v>
      </c>
      <c r="M115" s="647" t="s">
        <v>3826</v>
      </c>
      <c r="N115" s="648">
        <v>40255</v>
      </c>
    </row>
    <row r="116" spans="1:14" x14ac:dyDescent="0.35">
      <c r="A116" s="647">
        <v>1217</v>
      </c>
      <c r="B116" s="647" t="s">
        <v>4401</v>
      </c>
      <c r="C116" s="647" t="s">
        <v>4402</v>
      </c>
      <c r="D116" s="647" t="s">
        <v>2243</v>
      </c>
      <c r="E116" s="647" t="s">
        <v>2231</v>
      </c>
      <c r="F116" s="647">
        <v>32258</v>
      </c>
      <c r="G116" s="647" t="s">
        <v>4403</v>
      </c>
      <c r="H116" s="647" t="s">
        <v>3994</v>
      </c>
      <c r="I116" s="647" t="s">
        <v>3823</v>
      </c>
      <c r="J116" s="647">
        <v>30812038</v>
      </c>
      <c r="K116" s="647" t="s">
        <v>3978</v>
      </c>
      <c r="L116" s="647" t="s">
        <v>4404</v>
      </c>
      <c r="M116" s="647" t="s">
        <v>3826</v>
      </c>
      <c r="N116" s="648">
        <v>40268</v>
      </c>
    </row>
    <row r="117" spans="1:14" x14ac:dyDescent="0.35">
      <c r="A117" s="647">
        <v>1240</v>
      </c>
      <c r="B117" s="647" t="s">
        <v>4405</v>
      </c>
      <c r="C117" s="647" t="s">
        <v>4406</v>
      </c>
      <c r="D117" s="647" t="s">
        <v>2245</v>
      </c>
      <c r="E117" s="647" t="s">
        <v>2231</v>
      </c>
      <c r="F117" s="647">
        <v>34146</v>
      </c>
      <c r="G117" s="647" t="s">
        <v>4407</v>
      </c>
      <c r="H117" s="647" t="s">
        <v>3994</v>
      </c>
      <c r="I117" s="647" t="s">
        <v>3823</v>
      </c>
      <c r="J117" s="647">
        <v>1864961</v>
      </c>
      <c r="K117" s="647" t="s">
        <v>4408</v>
      </c>
      <c r="L117" s="647" t="s">
        <v>4409</v>
      </c>
      <c r="M117" s="647" t="s">
        <v>3826</v>
      </c>
      <c r="N117" s="648">
        <v>40269</v>
      </c>
    </row>
    <row r="118" spans="1:14" x14ac:dyDescent="0.35">
      <c r="A118" s="647">
        <v>1241</v>
      </c>
      <c r="B118" s="647" t="s">
        <v>4410</v>
      </c>
      <c r="C118" s="647" t="s">
        <v>4411</v>
      </c>
      <c r="D118" s="647" t="s">
        <v>2247</v>
      </c>
      <c r="E118" s="647" t="s">
        <v>2231</v>
      </c>
      <c r="F118" s="647">
        <v>2458</v>
      </c>
      <c r="G118" s="647" t="s">
        <v>4412</v>
      </c>
      <c r="H118" s="647" t="s">
        <v>3931</v>
      </c>
      <c r="I118" s="647" t="s">
        <v>3823</v>
      </c>
      <c r="J118" s="647">
        <v>5458474</v>
      </c>
      <c r="K118" s="647" t="s">
        <v>4413</v>
      </c>
      <c r="L118" s="647" t="s">
        <v>4414</v>
      </c>
      <c r="M118" s="647" t="s">
        <v>3836</v>
      </c>
      <c r="N118" s="648">
        <v>40268</v>
      </c>
    </row>
    <row r="119" spans="1:14" x14ac:dyDescent="0.35">
      <c r="A119" s="647">
        <v>1242</v>
      </c>
      <c r="B119" s="647" t="s">
        <v>4415</v>
      </c>
      <c r="C119" s="647" t="s">
        <v>4416</v>
      </c>
      <c r="D119" s="647" t="s">
        <v>2249</v>
      </c>
      <c r="E119" s="647" t="s">
        <v>2231</v>
      </c>
      <c r="F119" s="647">
        <v>33853</v>
      </c>
      <c r="G119" s="647" t="s">
        <v>4417</v>
      </c>
      <c r="H119" s="647" t="s">
        <v>3931</v>
      </c>
      <c r="I119" s="647" t="s">
        <v>3937</v>
      </c>
      <c r="J119" s="647">
        <v>1191652</v>
      </c>
      <c r="K119" s="647" t="s">
        <v>4418</v>
      </c>
      <c r="L119" s="647" t="s">
        <v>4419</v>
      </c>
      <c r="M119" s="647" t="s">
        <v>3826</v>
      </c>
      <c r="N119" s="648">
        <v>40360</v>
      </c>
    </row>
    <row r="120" spans="1:14" x14ac:dyDescent="0.35">
      <c r="A120" s="647">
        <v>1245</v>
      </c>
      <c r="B120" s="647" t="s">
        <v>4420</v>
      </c>
      <c r="C120" s="647" t="s">
        <v>4421</v>
      </c>
      <c r="D120" s="647" t="s">
        <v>2251</v>
      </c>
      <c r="E120" s="647" t="s">
        <v>2231</v>
      </c>
      <c r="F120" s="647">
        <v>33126</v>
      </c>
      <c r="G120" s="647" t="s">
        <v>4422</v>
      </c>
      <c r="H120" s="647" t="s">
        <v>3994</v>
      </c>
      <c r="I120" s="647" t="s">
        <v>3823</v>
      </c>
      <c r="J120" s="647">
        <v>15102131</v>
      </c>
      <c r="K120" s="647" t="s">
        <v>4423</v>
      </c>
      <c r="L120" s="647" t="s">
        <v>4424</v>
      </c>
      <c r="M120" s="647" t="s">
        <v>3826</v>
      </c>
      <c r="N120" s="648">
        <v>40148</v>
      </c>
    </row>
    <row r="121" spans="1:14" x14ac:dyDescent="0.35">
      <c r="A121" s="647">
        <v>1254</v>
      </c>
      <c r="B121" s="647" t="s">
        <v>4425</v>
      </c>
      <c r="C121" s="647" t="s">
        <v>4426</v>
      </c>
      <c r="D121" s="647" t="s">
        <v>4427</v>
      </c>
      <c r="E121" s="647" t="s">
        <v>2231</v>
      </c>
      <c r="F121" s="647">
        <v>33040</v>
      </c>
      <c r="G121" s="647" t="s">
        <v>4428</v>
      </c>
      <c r="H121" s="647" t="s">
        <v>3994</v>
      </c>
      <c r="I121" s="647" t="s">
        <v>3823</v>
      </c>
      <c r="J121" s="647"/>
      <c r="K121" s="647" t="s">
        <v>4429</v>
      </c>
      <c r="L121" s="647" t="s">
        <v>4430</v>
      </c>
      <c r="M121" s="647" t="s">
        <v>4078</v>
      </c>
      <c r="N121" s="648" t="e">
        <v>#N/A</v>
      </c>
    </row>
    <row r="122" spans="1:14" x14ac:dyDescent="0.35">
      <c r="A122" s="647">
        <v>1283</v>
      </c>
      <c r="B122" s="647" t="s">
        <v>4431</v>
      </c>
      <c r="C122" s="647" t="s">
        <v>4432</v>
      </c>
      <c r="D122" s="647" t="s">
        <v>2253</v>
      </c>
      <c r="E122" s="647" t="s">
        <v>2231</v>
      </c>
      <c r="F122" s="647">
        <v>34109</v>
      </c>
      <c r="G122" s="647" t="s">
        <v>4433</v>
      </c>
      <c r="H122" s="647" t="s">
        <v>3994</v>
      </c>
      <c r="I122" s="647" t="s">
        <v>3823</v>
      </c>
      <c r="J122" s="647">
        <v>5625429</v>
      </c>
      <c r="K122" s="647" t="s">
        <v>3918</v>
      </c>
      <c r="L122" s="647" t="s">
        <v>4434</v>
      </c>
      <c r="M122" s="647" t="s">
        <v>3826</v>
      </c>
      <c r="N122" s="648">
        <v>40179</v>
      </c>
    </row>
    <row r="123" spans="1:14" x14ac:dyDescent="0.35">
      <c r="A123" s="647">
        <v>1285</v>
      </c>
      <c r="B123" s="647" t="s">
        <v>4435</v>
      </c>
      <c r="C123" s="647" t="s">
        <v>4436</v>
      </c>
      <c r="D123" s="647" t="s">
        <v>2255</v>
      </c>
      <c r="E123" s="647" t="s">
        <v>2231</v>
      </c>
      <c r="F123" s="647">
        <v>32803</v>
      </c>
      <c r="G123" s="647" t="s">
        <v>4437</v>
      </c>
      <c r="H123" s="647" t="s">
        <v>3994</v>
      </c>
      <c r="I123" s="647" t="s">
        <v>3937</v>
      </c>
      <c r="J123" s="647">
        <v>64630363</v>
      </c>
      <c r="K123" s="647" t="s">
        <v>3835</v>
      </c>
      <c r="L123" s="647" t="s">
        <v>4438</v>
      </c>
      <c r="M123" s="647" t="s">
        <v>3826</v>
      </c>
      <c r="N123" s="648">
        <v>40330</v>
      </c>
    </row>
    <row r="124" spans="1:14" x14ac:dyDescent="0.35">
      <c r="A124" s="647">
        <v>1290</v>
      </c>
      <c r="B124" s="647" t="s">
        <v>4439</v>
      </c>
      <c r="C124" s="647" t="s">
        <v>4440</v>
      </c>
      <c r="D124" s="647" t="s">
        <v>2257</v>
      </c>
      <c r="E124" s="647" t="s">
        <v>2231</v>
      </c>
      <c r="F124" s="647">
        <v>33875</v>
      </c>
      <c r="G124" s="647" t="s">
        <v>4441</v>
      </c>
      <c r="H124" s="647" t="s">
        <v>3931</v>
      </c>
      <c r="I124" s="647" t="s">
        <v>3937</v>
      </c>
      <c r="J124" s="647">
        <v>606596</v>
      </c>
      <c r="K124" s="647" t="s">
        <v>4044</v>
      </c>
      <c r="L124" s="647" t="s">
        <v>4442</v>
      </c>
      <c r="M124" s="647" t="s">
        <v>3826</v>
      </c>
      <c r="N124" s="648">
        <v>40391</v>
      </c>
    </row>
    <row r="125" spans="1:14" x14ac:dyDescent="0.35">
      <c r="A125" s="647">
        <v>1305</v>
      </c>
      <c r="B125" s="647" t="s">
        <v>4443</v>
      </c>
      <c r="C125" s="647" t="s">
        <v>4444</v>
      </c>
      <c r="D125" s="647" t="s">
        <v>2259</v>
      </c>
      <c r="E125" s="647" t="s">
        <v>2231</v>
      </c>
      <c r="F125" s="647">
        <v>33406</v>
      </c>
      <c r="G125" s="647" t="s">
        <v>4445</v>
      </c>
      <c r="H125" s="647" t="s">
        <v>3994</v>
      </c>
      <c r="I125" s="647" t="s">
        <v>3823</v>
      </c>
      <c r="J125" s="647">
        <v>2488511</v>
      </c>
      <c r="K125" s="647" t="s">
        <v>4181</v>
      </c>
      <c r="L125" s="647" t="s">
        <v>4024</v>
      </c>
      <c r="M125" s="647" t="s">
        <v>3826</v>
      </c>
      <c r="N125" s="648">
        <v>40269</v>
      </c>
    </row>
    <row r="126" spans="1:14" x14ac:dyDescent="0.35">
      <c r="A126" s="647">
        <v>1310</v>
      </c>
      <c r="B126" s="647" t="s">
        <v>4446</v>
      </c>
      <c r="C126" s="647" t="s">
        <v>4447</v>
      </c>
      <c r="D126" s="647" t="s">
        <v>4448</v>
      </c>
      <c r="E126" s="647" t="s">
        <v>2231</v>
      </c>
      <c r="F126" s="647">
        <v>32401</v>
      </c>
      <c r="G126" s="647" t="s">
        <v>4449</v>
      </c>
      <c r="H126" s="647" t="s">
        <v>3931</v>
      </c>
      <c r="I126" s="647" t="s">
        <v>3937</v>
      </c>
      <c r="J126" s="647"/>
      <c r="K126" s="649"/>
      <c r="L126" s="649"/>
      <c r="M126" s="649"/>
      <c r="N126" s="648" t="e">
        <v>#N/A</v>
      </c>
    </row>
    <row r="127" spans="1:14" x14ac:dyDescent="0.35">
      <c r="A127" s="647">
        <v>1313</v>
      </c>
      <c r="B127" s="647" t="s">
        <v>4450</v>
      </c>
      <c r="C127" s="647" t="s">
        <v>4451</v>
      </c>
      <c r="D127" s="647" t="s">
        <v>2261</v>
      </c>
      <c r="E127" s="647" t="s">
        <v>2231</v>
      </c>
      <c r="F127" s="647">
        <v>32501</v>
      </c>
      <c r="G127" s="647" t="s">
        <v>4452</v>
      </c>
      <c r="H127" s="647" t="s">
        <v>3931</v>
      </c>
      <c r="I127" s="647" t="s">
        <v>3823</v>
      </c>
      <c r="J127" s="647">
        <v>3131673</v>
      </c>
      <c r="K127" s="647" t="s">
        <v>4453</v>
      </c>
      <c r="L127" s="647" t="s">
        <v>4454</v>
      </c>
      <c r="M127" s="647" t="s">
        <v>3826</v>
      </c>
      <c r="N127" s="648">
        <v>40411</v>
      </c>
    </row>
    <row r="128" spans="1:14" x14ac:dyDescent="0.35">
      <c r="A128" s="647">
        <v>1325</v>
      </c>
      <c r="B128" s="647" t="s">
        <v>4455</v>
      </c>
      <c r="C128" s="647" t="s">
        <v>4456</v>
      </c>
      <c r="D128" s="647" t="s">
        <v>2263</v>
      </c>
      <c r="E128" s="647" t="s">
        <v>2231</v>
      </c>
      <c r="F128" s="647">
        <v>33713</v>
      </c>
      <c r="G128" s="647" t="s">
        <v>4457</v>
      </c>
      <c r="H128" s="647" t="s">
        <v>3994</v>
      </c>
      <c r="I128" s="647" t="s">
        <v>3937</v>
      </c>
      <c r="J128" s="647">
        <v>9268354</v>
      </c>
      <c r="K128" s="647" t="s">
        <v>4164</v>
      </c>
      <c r="L128" s="647" t="s">
        <v>4458</v>
      </c>
      <c r="M128" s="647" t="s">
        <v>3826</v>
      </c>
      <c r="N128" s="648">
        <v>40178</v>
      </c>
    </row>
    <row r="129" spans="1:14" x14ac:dyDescent="0.35">
      <c r="A129" s="647">
        <v>1328</v>
      </c>
      <c r="B129" s="647" t="s">
        <v>4459</v>
      </c>
      <c r="C129" s="647" t="s">
        <v>4460</v>
      </c>
      <c r="D129" s="647" t="s">
        <v>2265</v>
      </c>
      <c r="E129" s="647" t="s">
        <v>2231</v>
      </c>
      <c r="F129" s="647">
        <v>34996</v>
      </c>
      <c r="G129" s="647" t="s">
        <v>4461</v>
      </c>
      <c r="H129" s="647" t="s">
        <v>3931</v>
      </c>
      <c r="I129" s="647" t="s">
        <v>3937</v>
      </c>
      <c r="J129" s="647">
        <v>5184696</v>
      </c>
      <c r="K129" s="647" t="s">
        <v>4259</v>
      </c>
      <c r="L129" s="647" t="s">
        <v>4462</v>
      </c>
      <c r="M129" s="647" t="s">
        <v>3826</v>
      </c>
      <c r="N129" s="648">
        <v>40360</v>
      </c>
    </row>
    <row r="130" spans="1:14" x14ac:dyDescent="0.35">
      <c r="A130" s="647">
        <v>1331</v>
      </c>
      <c r="B130" s="647" t="s">
        <v>4463</v>
      </c>
      <c r="C130" s="647" t="s">
        <v>4464</v>
      </c>
      <c r="D130" s="647" t="s">
        <v>2267</v>
      </c>
      <c r="E130" s="647" t="s">
        <v>2231</v>
      </c>
      <c r="F130" s="647">
        <v>34209</v>
      </c>
      <c r="G130" s="647" t="s">
        <v>4465</v>
      </c>
      <c r="H130" s="647" t="s">
        <v>3994</v>
      </c>
      <c r="I130" s="647" t="s">
        <v>3937</v>
      </c>
      <c r="J130" s="647">
        <v>5328111</v>
      </c>
      <c r="K130" s="647" t="s">
        <v>4346</v>
      </c>
      <c r="L130" s="647" t="s">
        <v>4466</v>
      </c>
      <c r="M130" s="647" t="s">
        <v>3826</v>
      </c>
      <c r="N130" s="648">
        <v>40360</v>
      </c>
    </row>
    <row r="131" spans="1:14" x14ac:dyDescent="0.35">
      <c r="A131" s="647">
        <v>1333</v>
      </c>
      <c r="B131" s="647" t="s">
        <v>4467</v>
      </c>
      <c r="C131" s="647" t="s">
        <v>4468</v>
      </c>
      <c r="D131" s="647" t="s">
        <v>2269</v>
      </c>
      <c r="E131" s="647" t="s">
        <v>2231</v>
      </c>
      <c r="F131" s="647">
        <v>34237</v>
      </c>
      <c r="G131" s="647" t="s">
        <v>4469</v>
      </c>
      <c r="H131" s="647" t="s">
        <v>3994</v>
      </c>
      <c r="I131" s="647" t="s">
        <v>3937</v>
      </c>
      <c r="J131" s="647">
        <v>94516719</v>
      </c>
      <c r="K131" s="647" t="s">
        <v>3978</v>
      </c>
      <c r="L131" s="647" t="s">
        <v>4470</v>
      </c>
      <c r="M131" s="647" t="s">
        <v>3836</v>
      </c>
      <c r="N131" s="648">
        <v>40360</v>
      </c>
    </row>
    <row r="132" spans="1:14" x14ac:dyDescent="0.35">
      <c r="A132" s="647">
        <v>1335</v>
      </c>
      <c r="B132" s="647" t="s">
        <v>4471</v>
      </c>
      <c r="C132" s="647" t="s">
        <v>4472</v>
      </c>
      <c r="D132" s="647" t="s">
        <v>2271</v>
      </c>
      <c r="E132" s="647" t="s">
        <v>2231</v>
      </c>
      <c r="F132" s="647">
        <v>2169</v>
      </c>
      <c r="G132" s="647" t="s">
        <v>4473</v>
      </c>
      <c r="H132" s="647" t="s">
        <v>3931</v>
      </c>
      <c r="I132" s="647" t="s">
        <v>3937</v>
      </c>
      <c r="J132" s="647">
        <v>8793418</v>
      </c>
      <c r="K132" s="647" t="s">
        <v>4385</v>
      </c>
      <c r="L132" s="647" t="s">
        <v>4474</v>
      </c>
      <c r="M132" s="647" t="s">
        <v>3826</v>
      </c>
      <c r="N132" s="648">
        <v>40281</v>
      </c>
    </row>
    <row r="133" spans="1:14" x14ac:dyDescent="0.35">
      <c r="A133" s="647">
        <v>1337</v>
      </c>
      <c r="B133" s="647" t="s">
        <v>4475</v>
      </c>
      <c r="C133" s="647" t="s">
        <v>4476</v>
      </c>
      <c r="D133" s="647" t="s">
        <v>2273</v>
      </c>
      <c r="E133" s="647" t="s">
        <v>2231</v>
      </c>
      <c r="F133" s="647" t="s">
        <v>4477</v>
      </c>
      <c r="G133" s="647" t="s">
        <v>4478</v>
      </c>
      <c r="H133" s="647" t="s">
        <v>3931</v>
      </c>
      <c r="I133" s="647" t="s">
        <v>3823</v>
      </c>
      <c r="J133" s="647">
        <v>2863502</v>
      </c>
      <c r="K133" s="647" t="s">
        <v>4479</v>
      </c>
      <c r="L133" s="647" t="s">
        <v>4480</v>
      </c>
      <c r="M133" s="647" t="s">
        <v>3826</v>
      </c>
      <c r="N133" s="648">
        <v>40360</v>
      </c>
    </row>
    <row r="134" spans="1:14" x14ac:dyDescent="0.35">
      <c r="A134" s="647">
        <v>1338</v>
      </c>
      <c r="B134" s="647" t="s">
        <v>4481</v>
      </c>
      <c r="C134" s="647" t="s">
        <v>4482</v>
      </c>
      <c r="D134" s="647" t="s">
        <v>2275</v>
      </c>
      <c r="E134" s="647" t="s">
        <v>2231</v>
      </c>
      <c r="F134" s="647">
        <v>33948</v>
      </c>
      <c r="G134" s="647" t="s">
        <v>4483</v>
      </c>
      <c r="H134" s="647" t="s">
        <v>3931</v>
      </c>
      <c r="I134" s="647" t="s">
        <v>3823</v>
      </c>
      <c r="J134" s="647">
        <v>4787814</v>
      </c>
      <c r="K134" s="647" t="s">
        <v>3978</v>
      </c>
      <c r="L134" s="647" t="s">
        <v>4484</v>
      </c>
      <c r="M134" s="647" t="s">
        <v>3826</v>
      </c>
      <c r="N134" s="648">
        <v>40330</v>
      </c>
    </row>
    <row r="135" spans="1:14" x14ac:dyDescent="0.35">
      <c r="A135" s="647">
        <v>1341</v>
      </c>
      <c r="B135" s="647" t="s">
        <v>4485</v>
      </c>
      <c r="C135" s="647" t="s">
        <v>4486</v>
      </c>
      <c r="D135" s="647" t="s">
        <v>2277</v>
      </c>
      <c r="E135" s="647" t="s">
        <v>2231</v>
      </c>
      <c r="F135" s="647">
        <v>33602</v>
      </c>
      <c r="G135" s="647" t="s">
        <v>4487</v>
      </c>
      <c r="H135" s="647" t="s">
        <v>3994</v>
      </c>
      <c r="I135" s="647" t="s">
        <v>3823</v>
      </c>
      <c r="J135" s="647">
        <v>31221105</v>
      </c>
      <c r="K135" s="647" t="s">
        <v>4488</v>
      </c>
      <c r="L135" s="647" t="s">
        <v>4489</v>
      </c>
      <c r="M135" s="647" t="s">
        <v>3826</v>
      </c>
      <c r="N135" s="648">
        <v>40330</v>
      </c>
    </row>
    <row r="136" spans="1:14" x14ac:dyDescent="0.35">
      <c r="A136" s="647">
        <v>1345</v>
      </c>
      <c r="B136" s="647" t="s">
        <v>4490</v>
      </c>
      <c r="C136" s="647" t="s">
        <v>4491</v>
      </c>
      <c r="D136" s="647" t="s">
        <v>2279</v>
      </c>
      <c r="E136" s="647" t="s">
        <v>2231</v>
      </c>
      <c r="F136" s="647">
        <v>33126</v>
      </c>
      <c r="G136" s="647" t="s">
        <v>4492</v>
      </c>
      <c r="H136" s="647" t="s">
        <v>3994</v>
      </c>
      <c r="I136" s="647" t="s">
        <v>3937</v>
      </c>
      <c r="J136" s="647">
        <v>10385846</v>
      </c>
      <c r="K136" s="647" t="s">
        <v>4493</v>
      </c>
      <c r="L136" s="647" t="s">
        <v>4494</v>
      </c>
      <c r="M136" s="647" t="s">
        <v>3826</v>
      </c>
      <c r="N136" s="648">
        <v>40148</v>
      </c>
    </row>
    <row r="137" spans="1:14" x14ac:dyDescent="0.35">
      <c r="A137" s="647">
        <v>1349</v>
      </c>
      <c r="B137" s="647" t="s">
        <v>4495</v>
      </c>
      <c r="C137" s="647" t="s">
        <v>4496</v>
      </c>
      <c r="D137" s="647" t="s">
        <v>2281</v>
      </c>
      <c r="E137" s="647" t="s">
        <v>2282</v>
      </c>
      <c r="F137" s="647">
        <v>30606</v>
      </c>
      <c r="G137" s="647" t="s">
        <v>4497</v>
      </c>
      <c r="H137" s="647" t="s">
        <v>3822</v>
      </c>
      <c r="I137" s="647" t="s">
        <v>3977</v>
      </c>
      <c r="J137" s="647">
        <v>3565301</v>
      </c>
      <c r="K137" s="647" t="s">
        <v>4007</v>
      </c>
      <c r="L137" s="647" t="s">
        <v>4498</v>
      </c>
      <c r="M137" s="647" t="s">
        <v>3826</v>
      </c>
      <c r="N137" s="648">
        <v>40379</v>
      </c>
    </row>
    <row r="138" spans="1:14" x14ac:dyDescent="0.35">
      <c r="A138" s="647">
        <v>1357</v>
      </c>
      <c r="B138" s="647" t="s">
        <v>4499</v>
      </c>
      <c r="C138" s="647" t="s">
        <v>4500</v>
      </c>
      <c r="D138" s="647" t="s">
        <v>2284</v>
      </c>
      <c r="E138" s="647" t="s">
        <v>2282</v>
      </c>
      <c r="F138" s="647">
        <v>31707</v>
      </c>
      <c r="G138" s="647" t="s">
        <v>4501</v>
      </c>
      <c r="H138" s="647" t="s">
        <v>3822</v>
      </c>
      <c r="I138" s="647" t="s">
        <v>4502</v>
      </c>
      <c r="J138" s="647">
        <v>2207248</v>
      </c>
      <c r="K138" s="647" t="s">
        <v>4503</v>
      </c>
      <c r="L138" s="647" t="s">
        <v>4504</v>
      </c>
      <c r="M138" s="647" t="s">
        <v>3826</v>
      </c>
      <c r="N138" s="648">
        <v>40178</v>
      </c>
    </row>
    <row r="139" spans="1:14" x14ac:dyDescent="0.35">
      <c r="A139" s="647">
        <v>1361</v>
      </c>
      <c r="B139" s="647" t="s">
        <v>4505</v>
      </c>
      <c r="C139" s="647" t="s">
        <v>4506</v>
      </c>
      <c r="D139" s="647" t="s">
        <v>2286</v>
      </c>
      <c r="E139" s="647" t="s">
        <v>2282</v>
      </c>
      <c r="F139" s="647">
        <v>30303</v>
      </c>
      <c r="G139" s="647" t="s">
        <v>4507</v>
      </c>
      <c r="H139" s="647" t="s">
        <v>3822</v>
      </c>
      <c r="I139" s="647" t="s">
        <v>4123</v>
      </c>
      <c r="J139" s="647">
        <v>98321270</v>
      </c>
      <c r="K139" s="647" t="s">
        <v>4508</v>
      </c>
      <c r="L139" s="647" t="s">
        <v>4509</v>
      </c>
      <c r="M139" s="647" t="s">
        <v>3826</v>
      </c>
      <c r="N139" s="648" t="e">
        <v>#N/A</v>
      </c>
    </row>
    <row r="140" spans="1:14" x14ac:dyDescent="0.35">
      <c r="A140" s="647">
        <v>1382</v>
      </c>
      <c r="B140" s="647" t="s">
        <v>4510</v>
      </c>
      <c r="C140" s="647" t="s">
        <v>4511</v>
      </c>
      <c r="D140" s="647" t="s">
        <v>2288</v>
      </c>
      <c r="E140" s="647" t="s">
        <v>2282</v>
      </c>
      <c r="F140" s="647">
        <v>30680</v>
      </c>
      <c r="G140" s="647" t="s">
        <v>4512</v>
      </c>
      <c r="H140" s="647" t="s">
        <v>3822</v>
      </c>
      <c r="I140" s="647" t="s">
        <v>4502</v>
      </c>
      <c r="J140" s="647">
        <v>2632282</v>
      </c>
      <c r="K140" s="647" t="s">
        <v>4513</v>
      </c>
      <c r="L140" s="647" t="s">
        <v>4514</v>
      </c>
      <c r="M140" s="647" t="s">
        <v>3826</v>
      </c>
      <c r="N140" s="648">
        <v>40179</v>
      </c>
    </row>
    <row r="141" spans="1:14" x14ac:dyDescent="0.35">
      <c r="A141" s="647">
        <v>1389</v>
      </c>
      <c r="B141" s="647" t="s">
        <v>4515</v>
      </c>
      <c r="C141" s="647" t="s">
        <v>4516</v>
      </c>
      <c r="D141" s="647" t="s">
        <v>2286</v>
      </c>
      <c r="E141" s="647" t="s">
        <v>2282</v>
      </c>
      <c r="F141" s="647">
        <v>30303</v>
      </c>
      <c r="G141" s="647" t="s">
        <v>4517</v>
      </c>
      <c r="H141" s="647" t="s">
        <v>3822</v>
      </c>
      <c r="I141" s="647" t="s">
        <v>4502</v>
      </c>
      <c r="J141" s="647">
        <v>962974</v>
      </c>
      <c r="K141" s="647" t="s">
        <v>4518</v>
      </c>
      <c r="L141" s="647" t="s">
        <v>4519</v>
      </c>
      <c r="M141" s="647" t="s">
        <v>3826</v>
      </c>
      <c r="N141" s="648" t="e">
        <v>#N/A</v>
      </c>
    </row>
    <row r="142" spans="1:14" x14ac:dyDescent="0.35">
      <c r="A142" s="647">
        <v>1397</v>
      </c>
      <c r="B142" s="647" t="s">
        <v>4520</v>
      </c>
      <c r="C142" s="647" t="s">
        <v>4521</v>
      </c>
      <c r="D142" s="647" t="s">
        <v>3652</v>
      </c>
      <c r="E142" s="647" t="s">
        <v>2282</v>
      </c>
      <c r="F142" s="647">
        <v>30016</v>
      </c>
      <c r="G142" s="647" t="s">
        <v>4522</v>
      </c>
      <c r="H142" s="649"/>
      <c r="I142" s="649"/>
      <c r="J142" s="647"/>
      <c r="K142" s="647" t="s">
        <v>4523</v>
      </c>
      <c r="L142" s="647" t="s">
        <v>3919</v>
      </c>
      <c r="M142" s="647" t="s">
        <v>3826</v>
      </c>
      <c r="N142" s="648" t="e">
        <v>#N/A</v>
      </c>
    </row>
    <row r="143" spans="1:14" x14ac:dyDescent="0.35">
      <c r="A143" s="647">
        <v>1401</v>
      </c>
      <c r="B143" s="647" t="s">
        <v>4524</v>
      </c>
      <c r="C143" s="647" t="s">
        <v>4525</v>
      </c>
      <c r="D143" s="647" t="s">
        <v>2291</v>
      </c>
      <c r="E143" s="647" t="s">
        <v>2282</v>
      </c>
      <c r="F143" s="647">
        <v>30909</v>
      </c>
      <c r="G143" s="647" t="s">
        <v>4526</v>
      </c>
      <c r="H143" s="647" t="s">
        <v>3822</v>
      </c>
      <c r="I143" s="647" t="s">
        <v>4502</v>
      </c>
      <c r="J143" s="647">
        <v>11371327</v>
      </c>
      <c r="K143" s="647" t="s">
        <v>4527</v>
      </c>
      <c r="L143" s="647" t="s">
        <v>4528</v>
      </c>
      <c r="M143" s="647" t="s">
        <v>3826</v>
      </c>
      <c r="N143" s="648">
        <v>40179</v>
      </c>
    </row>
    <row r="144" spans="1:14" x14ac:dyDescent="0.35">
      <c r="A144" s="647">
        <v>1408</v>
      </c>
      <c r="B144" s="647" t="s">
        <v>4529</v>
      </c>
      <c r="C144" s="647" t="s">
        <v>4530</v>
      </c>
      <c r="D144" s="647" t="s">
        <v>2293</v>
      </c>
      <c r="E144" s="647" t="s">
        <v>2282</v>
      </c>
      <c r="F144" s="647">
        <v>39819</v>
      </c>
      <c r="G144" s="647" t="s">
        <v>4531</v>
      </c>
      <c r="H144" s="647" t="s">
        <v>3822</v>
      </c>
      <c r="I144" s="647" t="s">
        <v>4502</v>
      </c>
      <c r="J144" s="647">
        <v>1049523</v>
      </c>
      <c r="K144" s="647" t="s">
        <v>4385</v>
      </c>
      <c r="L144" s="647" t="s">
        <v>4532</v>
      </c>
      <c r="M144" s="647" t="s">
        <v>3826</v>
      </c>
      <c r="N144" s="648">
        <v>40360</v>
      </c>
    </row>
    <row r="145" spans="1:14" x14ac:dyDescent="0.35">
      <c r="A145" s="647">
        <v>1409</v>
      </c>
      <c r="B145" s="647" t="s">
        <v>4533</v>
      </c>
      <c r="C145" s="647" t="s">
        <v>4534</v>
      </c>
      <c r="D145" s="647" t="s">
        <v>2295</v>
      </c>
      <c r="E145" s="647" t="s">
        <v>2282</v>
      </c>
      <c r="F145" s="647">
        <v>31906</v>
      </c>
      <c r="G145" s="647" t="s">
        <v>4535</v>
      </c>
      <c r="H145" s="647" t="s">
        <v>3822</v>
      </c>
      <c r="I145" s="647" t="s">
        <v>3823</v>
      </c>
      <c r="J145" s="647">
        <v>2557560</v>
      </c>
      <c r="K145" s="647" t="s">
        <v>4164</v>
      </c>
      <c r="L145" s="647" t="s">
        <v>4536</v>
      </c>
      <c r="M145" s="647" t="s">
        <v>3826</v>
      </c>
      <c r="N145" s="648" t="e">
        <v>#N/A</v>
      </c>
    </row>
    <row r="146" spans="1:14" x14ac:dyDescent="0.35">
      <c r="A146" s="647">
        <v>1425</v>
      </c>
      <c r="B146" s="647" t="s">
        <v>4537</v>
      </c>
      <c r="C146" s="647" t="s">
        <v>4538</v>
      </c>
      <c r="D146" s="647" t="s">
        <v>3264</v>
      </c>
      <c r="E146" s="647" t="s">
        <v>2282</v>
      </c>
      <c r="F146" s="647">
        <v>30060</v>
      </c>
      <c r="G146" s="647" t="s">
        <v>4539</v>
      </c>
      <c r="H146" s="649"/>
      <c r="I146" s="649"/>
      <c r="J146" s="647"/>
      <c r="K146" s="647" t="s">
        <v>4540</v>
      </c>
      <c r="L146" s="647" t="s">
        <v>4541</v>
      </c>
      <c r="M146" s="647" t="s">
        <v>3826</v>
      </c>
      <c r="N146" s="648" t="e">
        <v>#N/A</v>
      </c>
    </row>
    <row r="147" spans="1:14" x14ac:dyDescent="0.35">
      <c r="A147" s="647">
        <v>1428</v>
      </c>
      <c r="B147" s="647" t="s">
        <v>4542</v>
      </c>
      <c r="C147" s="647" t="s">
        <v>4543</v>
      </c>
      <c r="D147" s="647" t="s">
        <v>4544</v>
      </c>
      <c r="E147" s="647" t="s">
        <v>2282</v>
      </c>
      <c r="F147" s="647">
        <v>31005</v>
      </c>
      <c r="G147" s="647" t="s">
        <v>4545</v>
      </c>
      <c r="H147" s="647" t="s">
        <v>3822</v>
      </c>
      <c r="I147" s="647" t="s">
        <v>3823</v>
      </c>
      <c r="J147" s="647"/>
      <c r="K147" s="647" t="s">
        <v>3926</v>
      </c>
      <c r="L147" s="647" t="s">
        <v>4546</v>
      </c>
      <c r="M147" s="647" t="s">
        <v>3826</v>
      </c>
      <c r="N147" s="648" t="e">
        <v>#N/A</v>
      </c>
    </row>
    <row r="148" spans="1:14" x14ac:dyDescent="0.35">
      <c r="A148" s="647">
        <v>1429</v>
      </c>
      <c r="B148" s="647" t="s">
        <v>4547</v>
      </c>
      <c r="C148" s="647" t="s">
        <v>4548</v>
      </c>
      <c r="D148" s="647" t="s">
        <v>2297</v>
      </c>
      <c r="E148" s="647" t="s">
        <v>2282</v>
      </c>
      <c r="F148" s="647">
        <v>31768</v>
      </c>
      <c r="G148" s="647" t="s">
        <v>4549</v>
      </c>
      <c r="H148" s="647" t="s">
        <v>3822</v>
      </c>
      <c r="I148" s="647" t="s">
        <v>4502</v>
      </c>
      <c r="J148" s="647">
        <v>2391744</v>
      </c>
      <c r="K148" s="647" t="s">
        <v>3926</v>
      </c>
      <c r="L148" s="647" t="s">
        <v>4550</v>
      </c>
      <c r="M148" s="647" t="s">
        <v>3826</v>
      </c>
      <c r="N148" s="648">
        <v>40299</v>
      </c>
    </row>
    <row r="149" spans="1:14" x14ac:dyDescent="0.35">
      <c r="A149" s="647">
        <v>1430</v>
      </c>
      <c r="B149" s="647" t="s">
        <v>4551</v>
      </c>
      <c r="C149" s="647" t="s">
        <v>4552</v>
      </c>
      <c r="D149" s="647" t="s">
        <v>2239</v>
      </c>
      <c r="E149" s="647" t="s">
        <v>2282</v>
      </c>
      <c r="F149" s="647">
        <v>30501</v>
      </c>
      <c r="G149" s="647" t="s">
        <v>4553</v>
      </c>
      <c r="H149" s="647" t="s">
        <v>3822</v>
      </c>
      <c r="I149" s="647" t="s">
        <v>4502</v>
      </c>
      <c r="J149" s="647">
        <v>7042361</v>
      </c>
      <c r="K149" s="647" t="s">
        <v>4044</v>
      </c>
      <c r="L149" s="647" t="s">
        <v>4165</v>
      </c>
      <c r="M149" s="647" t="s">
        <v>4078</v>
      </c>
      <c r="N149" s="648">
        <v>40275</v>
      </c>
    </row>
    <row r="150" spans="1:14" x14ac:dyDescent="0.35">
      <c r="A150" s="647">
        <v>1433</v>
      </c>
      <c r="B150" s="647" t="s">
        <v>4554</v>
      </c>
      <c r="C150" s="647" t="s">
        <v>4555</v>
      </c>
      <c r="D150" s="647" t="s">
        <v>2300</v>
      </c>
      <c r="E150" s="647" t="s">
        <v>2282</v>
      </c>
      <c r="F150" s="647" t="s">
        <v>4556</v>
      </c>
      <c r="G150" s="647" t="s">
        <v>4557</v>
      </c>
      <c r="H150" s="649"/>
      <c r="I150" s="649"/>
      <c r="J150" s="647">
        <v>1133187</v>
      </c>
      <c r="K150" s="647" t="s">
        <v>4558</v>
      </c>
      <c r="L150" s="647" t="s">
        <v>4559</v>
      </c>
      <c r="M150" s="647" t="s">
        <v>3826</v>
      </c>
      <c r="N150" s="648" t="e">
        <v>#N/A</v>
      </c>
    </row>
    <row r="151" spans="1:14" x14ac:dyDescent="0.35">
      <c r="A151" s="647">
        <v>1437</v>
      </c>
      <c r="B151" s="647" t="s">
        <v>4560</v>
      </c>
      <c r="C151" s="647" t="s">
        <v>4561</v>
      </c>
      <c r="D151" s="647" t="s">
        <v>2302</v>
      </c>
      <c r="E151" s="647" t="s">
        <v>2282</v>
      </c>
      <c r="F151" s="647">
        <v>31416</v>
      </c>
      <c r="G151" s="647" t="s">
        <v>4562</v>
      </c>
      <c r="H151" s="647" t="s">
        <v>3944</v>
      </c>
      <c r="I151" s="647" t="s">
        <v>4502</v>
      </c>
      <c r="J151" s="647">
        <v>14237755</v>
      </c>
      <c r="K151" s="647" t="s">
        <v>4563</v>
      </c>
      <c r="L151" s="647" t="s">
        <v>4564</v>
      </c>
      <c r="M151" s="647" t="s">
        <v>3826</v>
      </c>
      <c r="N151" s="648">
        <v>40452</v>
      </c>
    </row>
    <row r="152" spans="1:14" x14ac:dyDescent="0.35">
      <c r="A152" s="647">
        <v>1441</v>
      </c>
      <c r="B152" s="647" t="s">
        <v>4565</v>
      </c>
      <c r="C152" s="647" t="s">
        <v>4566</v>
      </c>
      <c r="D152" s="647" t="s">
        <v>2302</v>
      </c>
      <c r="E152" s="647" t="s">
        <v>2282</v>
      </c>
      <c r="F152" s="647">
        <v>7869</v>
      </c>
      <c r="G152" s="647" t="s">
        <v>4567</v>
      </c>
      <c r="H152" s="649"/>
      <c r="I152" s="649"/>
      <c r="J152" s="647">
        <v>196996</v>
      </c>
      <c r="K152" s="647" t="s">
        <v>4568</v>
      </c>
      <c r="L152" s="647" t="s">
        <v>4569</v>
      </c>
      <c r="M152" s="647" t="s">
        <v>3826</v>
      </c>
      <c r="N152" s="648" t="e">
        <v>#N/A</v>
      </c>
    </row>
    <row r="153" spans="1:14" x14ac:dyDescent="0.35">
      <c r="A153" s="647">
        <v>1445</v>
      </c>
      <c r="B153" s="647" t="s">
        <v>4570</v>
      </c>
      <c r="C153" s="647" t="s">
        <v>4571</v>
      </c>
      <c r="D153" s="647" t="s">
        <v>2305</v>
      </c>
      <c r="E153" s="647" t="s">
        <v>2282</v>
      </c>
      <c r="F153" s="647">
        <v>31141</v>
      </c>
      <c r="G153" s="647" t="s">
        <v>4572</v>
      </c>
      <c r="H153" s="649"/>
      <c r="I153" s="649"/>
      <c r="J153" s="647">
        <v>652783</v>
      </c>
      <c r="K153" s="647" t="s">
        <v>4573</v>
      </c>
      <c r="L153" s="647" t="s">
        <v>4574</v>
      </c>
      <c r="M153" s="647" t="s">
        <v>3826</v>
      </c>
      <c r="N153" s="648" t="e">
        <v>#N/A</v>
      </c>
    </row>
    <row r="154" spans="1:14" x14ac:dyDescent="0.35">
      <c r="A154" s="647">
        <v>1449</v>
      </c>
      <c r="B154" s="647" t="s">
        <v>4575</v>
      </c>
      <c r="C154" s="647" t="s">
        <v>4576</v>
      </c>
      <c r="D154" s="647" t="s">
        <v>2307</v>
      </c>
      <c r="E154" s="647" t="s">
        <v>2282</v>
      </c>
      <c r="F154" s="647">
        <v>31793</v>
      </c>
      <c r="G154" s="647" t="s">
        <v>4577</v>
      </c>
      <c r="H154" s="647" t="s">
        <v>3822</v>
      </c>
      <c r="I154" s="647" t="s">
        <v>4502</v>
      </c>
      <c r="J154" s="647">
        <v>515674</v>
      </c>
      <c r="K154" s="647" t="s">
        <v>4578</v>
      </c>
      <c r="L154" s="647" t="s">
        <v>4579</v>
      </c>
      <c r="M154" s="647" t="s">
        <v>3826</v>
      </c>
      <c r="N154" s="648">
        <v>40186</v>
      </c>
    </row>
    <row r="155" spans="1:14" x14ac:dyDescent="0.35">
      <c r="A155" s="647">
        <v>1455</v>
      </c>
      <c r="B155" s="647" t="s">
        <v>4580</v>
      </c>
      <c r="C155" s="647" t="s">
        <v>4581</v>
      </c>
      <c r="D155" s="647" t="s">
        <v>2309</v>
      </c>
      <c r="E155" s="647" t="s">
        <v>2282</v>
      </c>
      <c r="F155" s="647">
        <v>31799</v>
      </c>
      <c r="G155" s="647" t="s">
        <v>4582</v>
      </c>
      <c r="H155" s="647" t="s">
        <v>3822</v>
      </c>
      <c r="I155" s="647" t="s">
        <v>4502</v>
      </c>
      <c r="J155" s="647">
        <v>4254164</v>
      </c>
      <c r="K155" s="647" t="s">
        <v>4583</v>
      </c>
      <c r="L155" s="647" t="s">
        <v>4584</v>
      </c>
      <c r="M155" s="647" t="s">
        <v>3826</v>
      </c>
      <c r="N155" s="648">
        <v>40313</v>
      </c>
    </row>
    <row r="156" spans="1:14" x14ac:dyDescent="0.35">
      <c r="A156" s="647">
        <v>1456</v>
      </c>
      <c r="B156" s="647" t="s">
        <v>4585</v>
      </c>
      <c r="C156" s="647" t="s">
        <v>4586</v>
      </c>
      <c r="D156" s="647" t="s">
        <v>2311</v>
      </c>
      <c r="E156" s="647" t="s">
        <v>2282</v>
      </c>
      <c r="F156" s="647">
        <v>31603</v>
      </c>
      <c r="G156" s="647" t="s">
        <v>4587</v>
      </c>
      <c r="H156" s="647" t="s">
        <v>3822</v>
      </c>
      <c r="I156" s="647" t="s">
        <v>4502</v>
      </c>
      <c r="J156" s="647">
        <v>2420723</v>
      </c>
      <c r="K156" s="647" t="s">
        <v>3918</v>
      </c>
      <c r="L156" s="647" t="s">
        <v>4588</v>
      </c>
      <c r="M156" s="647" t="s">
        <v>3826</v>
      </c>
      <c r="N156" s="648">
        <v>40269</v>
      </c>
    </row>
    <row r="157" spans="1:14" x14ac:dyDescent="0.35">
      <c r="A157" s="647">
        <v>1460</v>
      </c>
      <c r="B157" s="647" t="s">
        <v>4589</v>
      </c>
      <c r="C157" s="647" t="s">
        <v>4590</v>
      </c>
      <c r="D157" s="647" t="s">
        <v>2313</v>
      </c>
      <c r="E157" s="647" t="s">
        <v>2282</v>
      </c>
      <c r="F157" s="647">
        <v>30557</v>
      </c>
      <c r="G157" s="647" t="s">
        <v>4591</v>
      </c>
      <c r="H157" s="647" t="s">
        <v>3822</v>
      </c>
      <c r="I157" s="647" t="s">
        <v>4502</v>
      </c>
      <c r="J157" s="647">
        <v>472673</v>
      </c>
      <c r="K157" s="647" t="s">
        <v>4592</v>
      </c>
      <c r="L157" s="647" t="s">
        <v>4593</v>
      </c>
      <c r="M157" s="647" t="s">
        <v>4078</v>
      </c>
      <c r="N157" s="648">
        <v>40231</v>
      </c>
    </row>
    <row r="158" spans="1:14" x14ac:dyDescent="0.35">
      <c r="A158" s="647">
        <v>1463</v>
      </c>
      <c r="B158" s="647" t="s">
        <v>4594</v>
      </c>
      <c r="C158" s="647" t="s">
        <v>4595</v>
      </c>
      <c r="D158" s="647" t="s">
        <v>2315</v>
      </c>
      <c r="E158" s="647" t="s">
        <v>2282</v>
      </c>
      <c r="F158" s="647">
        <v>31501</v>
      </c>
      <c r="G158" s="647" t="s">
        <v>4596</v>
      </c>
      <c r="H158" s="647" t="s">
        <v>3822</v>
      </c>
      <c r="I158" s="647" t="s">
        <v>4502</v>
      </c>
      <c r="J158" s="647">
        <v>1065495</v>
      </c>
      <c r="K158" s="647" t="s">
        <v>3978</v>
      </c>
      <c r="L158" s="647" t="s">
        <v>4597</v>
      </c>
      <c r="M158" s="647" t="s">
        <v>3826</v>
      </c>
      <c r="N158" s="648">
        <v>40178</v>
      </c>
    </row>
    <row r="159" spans="1:14" x14ac:dyDescent="0.35">
      <c r="A159" s="647">
        <v>1467</v>
      </c>
      <c r="B159" s="647" t="s">
        <v>4598</v>
      </c>
      <c r="C159" s="647" t="s">
        <v>4599</v>
      </c>
      <c r="D159" s="647" t="s">
        <v>2317</v>
      </c>
      <c r="E159" s="647" t="s">
        <v>2318</v>
      </c>
      <c r="F159" s="647">
        <v>96813</v>
      </c>
      <c r="G159" s="647" t="s">
        <v>4600</v>
      </c>
      <c r="H159" s="647" t="s">
        <v>3994</v>
      </c>
      <c r="I159" s="647" t="s">
        <v>3977</v>
      </c>
      <c r="J159" s="647">
        <v>26898589</v>
      </c>
      <c r="K159" s="647" t="s">
        <v>3918</v>
      </c>
      <c r="L159" s="647" t="s">
        <v>4601</v>
      </c>
      <c r="M159" s="647" t="s">
        <v>3826</v>
      </c>
      <c r="N159" s="648">
        <v>40452</v>
      </c>
    </row>
    <row r="160" spans="1:14" x14ac:dyDescent="0.35">
      <c r="A160" s="647">
        <v>1511</v>
      </c>
      <c r="B160" s="647" t="s">
        <v>4602</v>
      </c>
      <c r="C160" s="647" t="s">
        <v>4603</v>
      </c>
      <c r="D160" s="647" t="s">
        <v>2320</v>
      </c>
      <c r="E160" s="647" t="s">
        <v>2318</v>
      </c>
      <c r="F160" s="647">
        <v>96766</v>
      </c>
      <c r="G160" s="647" t="s">
        <v>4604</v>
      </c>
      <c r="H160" s="647" t="s">
        <v>3994</v>
      </c>
      <c r="I160" s="647" t="s">
        <v>4502</v>
      </c>
      <c r="J160" s="647">
        <v>326256</v>
      </c>
      <c r="K160" s="647" t="s">
        <v>4488</v>
      </c>
      <c r="L160" s="647" t="s">
        <v>4605</v>
      </c>
      <c r="M160" s="647" t="s">
        <v>3826</v>
      </c>
      <c r="N160" s="648">
        <v>40178</v>
      </c>
    </row>
    <row r="161" spans="1:14" x14ac:dyDescent="0.35">
      <c r="A161" s="647">
        <v>1515</v>
      </c>
      <c r="B161" s="647" t="s">
        <v>4606</v>
      </c>
      <c r="C161" s="647" t="s">
        <v>4607</v>
      </c>
      <c r="D161" s="647" t="s">
        <v>2322</v>
      </c>
      <c r="E161" s="647" t="s">
        <v>2318</v>
      </c>
      <c r="F161" s="647">
        <v>96732</v>
      </c>
      <c r="G161" s="647" t="s">
        <v>4608</v>
      </c>
      <c r="H161" s="647" t="s">
        <v>3994</v>
      </c>
      <c r="I161" s="647" t="s">
        <v>3977</v>
      </c>
      <c r="J161" s="647">
        <v>1937539</v>
      </c>
      <c r="K161" s="647" t="s">
        <v>4044</v>
      </c>
      <c r="L161" s="647" t="s">
        <v>4609</v>
      </c>
      <c r="M161" s="647" t="s">
        <v>3826</v>
      </c>
      <c r="N161" s="648">
        <v>40178</v>
      </c>
    </row>
    <row r="162" spans="1:14" x14ac:dyDescent="0.35">
      <c r="A162" s="647">
        <v>1519</v>
      </c>
      <c r="B162" s="647" t="s">
        <v>4610</v>
      </c>
      <c r="C162" s="647" t="s">
        <v>4611</v>
      </c>
      <c r="D162" s="647" t="s">
        <v>2324</v>
      </c>
      <c r="E162" s="647" t="s">
        <v>2318</v>
      </c>
      <c r="F162" s="647">
        <v>96720</v>
      </c>
      <c r="G162" s="647" t="s">
        <v>4612</v>
      </c>
      <c r="H162" s="647" t="s">
        <v>3994</v>
      </c>
      <c r="I162" s="647" t="s">
        <v>3977</v>
      </c>
      <c r="J162" s="647">
        <v>1750744</v>
      </c>
      <c r="K162" s="647" t="s">
        <v>4613</v>
      </c>
      <c r="L162" s="647" t="s">
        <v>4614</v>
      </c>
      <c r="M162" s="647" t="s">
        <v>3826</v>
      </c>
      <c r="N162" s="648">
        <v>40422</v>
      </c>
    </row>
    <row r="163" spans="1:14" x14ac:dyDescent="0.35">
      <c r="A163" s="647">
        <v>1523</v>
      </c>
      <c r="B163" s="647" t="s">
        <v>4615</v>
      </c>
      <c r="C163" s="647" t="s">
        <v>4616</v>
      </c>
      <c r="D163" s="647" t="s">
        <v>2326</v>
      </c>
      <c r="E163" s="647" t="s">
        <v>2327</v>
      </c>
      <c r="F163" s="647">
        <v>83702</v>
      </c>
      <c r="G163" s="647" t="s">
        <v>4617</v>
      </c>
      <c r="H163" s="647" t="s">
        <v>3917</v>
      </c>
      <c r="I163" s="647" t="s">
        <v>3925</v>
      </c>
      <c r="J163" s="647">
        <v>17105027</v>
      </c>
      <c r="K163" s="647" t="s">
        <v>3835</v>
      </c>
      <c r="L163" s="647" t="s">
        <v>3700</v>
      </c>
      <c r="M163" s="647" t="s">
        <v>3826</v>
      </c>
      <c r="N163" s="648">
        <v>40178</v>
      </c>
    </row>
    <row r="164" spans="1:14" x14ac:dyDescent="0.35">
      <c r="A164" s="647">
        <v>1527</v>
      </c>
      <c r="B164" s="647" t="s">
        <v>4618</v>
      </c>
      <c r="C164" s="647" t="s">
        <v>4619</v>
      </c>
      <c r="D164" s="647" t="s">
        <v>2329</v>
      </c>
      <c r="E164" s="647" t="s">
        <v>2327</v>
      </c>
      <c r="F164" s="647">
        <v>83402</v>
      </c>
      <c r="G164" s="647" t="s">
        <v>4620</v>
      </c>
      <c r="H164" s="647" t="s">
        <v>3917</v>
      </c>
      <c r="I164" s="649"/>
      <c r="J164" s="647">
        <v>1464311</v>
      </c>
      <c r="K164" s="647" t="s">
        <v>4453</v>
      </c>
      <c r="L164" s="647" t="s">
        <v>4454</v>
      </c>
      <c r="M164" s="647" t="s">
        <v>3826</v>
      </c>
      <c r="N164" s="648" t="e">
        <v>#N/A</v>
      </c>
    </row>
    <row r="165" spans="1:14" x14ac:dyDescent="0.35">
      <c r="A165" s="647">
        <v>1529</v>
      </c>
      <c r="B165" s="647" t="s">
        <v>4621</v>
      </c>
      <c r="C165" s="647" t="s">
        <v>4622</v>
      </c>
      <c r="D165" s="647" t="s">
        <v>2331</v>
      </c>
      <c r="E165" s="647" t="s">
        <v>2327</v>
      </c>
      <c r="F165" s="647">
        <v>83340</v>
      </c>
      <c r="G165" s="647" t="s">
        <v>4623</v>
      </c>
      <c r="H165" s="647" t="s">
        <v>3917</v>
      </c>
      <c r="I165" s="647" t="s">
        <v>3937</v>
      </c>
      <c r="J165" s="647">
        <v>2425818</v>
      </c>
      <c r="K165" s="647" t="s">
        <v>4493</v>
      </c>
      <c r="L165" s="647" t="s">
        <v>4624</v>
      </c>
      <c r="M165" s="647" t="s">
        <v>3826</v>
      </c>
      <c r="N165" s="648">
        <v>40391</v>
      </c>
    </row>
    <row r="166" spans="1:14" x14ac:dyDescent="0.35">
      <c r="A166" s="647">
        <v>1543</v>
      </c>
      <c r="B166" s="647" t="s">
        <v>4625</v>
      </c>
      <c r="C166" s="647" t="s">
        <v>4626</v>
      </c>
      <c r="D166" s="647" t="s">
        <v>2333</v>
      </c>
      <c r="E166" s="647" t="s">
        <v>2327</v>
      </c>
      <c r="F166" s="647">
        <v>83301</v>
      </c>
      <c r="G166" s="647" t="s">
        <v>4627</v>
      </c>
      <c r="H166" s="647" t="s">
        <v>3917</v>
      </c>
      <c r="I166" s="647" t="s">
        <v>3937</v>
      </c>
      <c r="J166" s="647">
        <v>1126726</v>
      </c>
      <c r="K166" s="647" t="s">
        <v>4628</v>
      </c>
      <c r="L166" s="647" t="s">
        <v>4629</v>
      </c>
      <c r="M166" s="647" t="s">
        <v>3826</v>
      </c>
      <c r="N166" s="648">
        <v>40422</v>
      </c>
    </row>
    <row r="167" spans="1:14" x14ac:dyDescent="0.35">
      <c r="A167" s="647">
        <v>1556</v>
      </c>
      <c r="B167" s="647" t="s">
        <v>4630</v>
      </c>
      <c r="C167" s="647" t="s">
        <v>4631</v>
      </c>
      <c r="D167" s="647" t="s">
        <v>2335</v>
      </c>
      <c r="E167" s="647" t="s">
        <v>2336</v>
      </c>
      <c r="F167" s="647">
        <v>60302</v>
      </c>
      <c r="G167" s="647" t="s">
        <v>4632</v>
      </c>
      <c r="H167" s="649"/>
      <c r="I167" s="649"/>
      <c r="J167" s="647">
        <v>3838122</v>
      </c>
      <c r="K167" s="647" t="s">
        <v>3855</v>
      </c>
      <c r="L167" s="647" t="s">
        <v>4633</v>
      </c>
      <c r="M167" s="647" t="s">
        <v>3826</v>
      </c>
      <c r="N167" s="648" t="e">
        <v>#N/A</v>
      </c>
    </row>
    <row r="168" spans="1:14" x14ac:dyDescent="0.35">
      <c r="A168" s="647">
        <v>1557</v>
      </c>
      <c r="B168" s="647" t="s">
        <v>4634</v>
      </c>
      <c r="C168" s="647" t="s">
        <v>4635</v>
      </c>
      <c r="D168" s="647" t="s">
        <v>2338</v>
      </c>
      <c r="E168" s="647" t="s">
        <v>2336</v>
      </c>
      <c r="F168" s="647">
        <v>60402</v>
      </c>
      <c r="G168" s="647" t="s">
        <v>4636</v>
      </c>
      <c r="H168" s="647" t="s">
        <v>3931</v>
      </c>
      <c r="I168" s="647" t="s">
        <v>4502</v>
      </c>
      <c r="J168" s="647">
        <v>2444640</v>
      </c>
      <c r="K168" s="647" t="s">
        <v>4259</v>
      </c>
      <c r="L168" s="647" t="s">
        <v>4637</v>
      </c>
      <c r="M168" s="647" t="s">
        <v>3826</v>
      </c>
      <c r="N168" s="648">
        <v>40178</v>
      </c>
    </row>
    <row r="169" spans="1:14" x14ac:dyDescent="0.35">
      <c r="A169" s="647">
        <v>1559</v>
      </c>
      <c r="B169" s="647" t="s">
        <v>4638</v>
      </c>
      <c r="C169" s="647" t="s">
        <v>4639</v>
      </c>
      <c r="D169" s="647" t="s">
        <v>2340</v>
      </c>
      <c r="E169" s="647" t="s">
        <v>2336</v>
      </c>
      <c r="F169" s="647">
        <v>61008</v>
      </c>
      <c r="G169" s="647" t="s">
        <v>4640</v>
      </c>
      <c r="H169" s="649"/>
      <c r="I169" s="649"/>
      <c r="J169" s="647">
        <v>1512245</v>
      </c>
      <c r="K169" s="647" t="s">
        <v>4052</v>
      </c>
      <c r="L169" s="647" t="s">
        <v>4641</v>
      </c>
      <c r="M169" s="647" t="s">
        <v>3826</v>
      </c>
      <c r="N169" s="648" t="e">
        <v>#N/A</v>
      </c>
    </row>
    <row r="170" spans="1:14" x14ac:dyDescent="0.35">
      <c r="A170" s="647">
        <v>1563</v>
      </c>
      <c r="B170" s="647" t="s">
        <v>4642</v>
      </c>
      <c r="C170" s="647" t="s">
        <v>4643</v>
      </c>
      <c r="D170" s="647" t="s">
        <v>2342</v>
      </c>
      <c r="E170" s="647" t="s">
        <v>2336</v>
      </c>
      <c r="F170" s="647">
        <v>61701</v>
      </c>
      <c r="G170" s="647" t="s">
        <v>4644</v>
      </c>
      <c r="H170" s="649"/>
      <c r="I170" s="649"/>
      <c r="J170" s="647">
        <v>1221379</v>
      </c>
      <c r="K170" s="647" t="s">
        <v>4645</v>
      </c>
      <c r="L170" s="647" t="s">
        <v>4646</v>
      </c>
      <c r="M170" s="647" t="s">
        <v>3826</v>
      </c>
      <c r="N170" s="648" t="e">
        <v>#N/A</v>
      </c>
    </row>
    <row r="171" spans="1:14" x14ac:dyDescent="0.35">
      <c r="A171" s="647">
        <v>1565</v>
      </c>
      <c r="B171" s="647" t="s">
        <v>4647</v>
      </c>
      <c r="C171" s="647" t="s">
        <v>4648</v>
      </c>
      <c r="D171" s="647" t="s">
        <v>2344</v>
      </c>
      <c r="E171" s="647" t="s">
        <v>2336</v>
      </c>
      <c r="F171" s="647">
        <v>62863</v>
      </c>
      <c r="G171" s="647" t="s">
        <v>4649</v>
      </c>
      <c r="H171" s="649"/>
      <c r="I171" s="649"/>
      <c r="J171" s="647">
        <v>99010</v>
      </c>
      <c r="K171" s="647" t="s">
        <v>3865</v>
      </c>
      <c r="L171" s="647" t="s">
        <v>4650</v>
      </c>
      <c r="M171" s="647" t="s">
        <v>3826</v>
      </c>
      <c r="N171" s="648" t="e">
        <v>#N/A</v>
      </c>
    </row>
    <row r="172" spans="1:14" x14ac:dyDescent="0.35">
      <c r="A172" s="647">
        <v>1567</v>
      </c>
      <c r="B172" s="647" t="s">
        <v>4651</v>
      </c>
      <c r="C172" s="647" t="s">
        <v>4652</v>
      </c>
      <c r="D172" s="647" t="s">
        <v>2346</v>
      </c>
      <c r="E172" s="647" t="s">
        <v>2336</v>
      </c>
      <c r="F172" s="647">
        <v>61520</v>
      </c>
      <c r="G172" s="647" t="s">
        <v>4653</v>
      </c>
      <c r="H172" s="649"/>
      <c r="I172" s="649"/>
      <c r="J172" s="647">
        <v>1481886</v>
      </c>
      <c r="K172" s="647" t="s">
        <v>4654</v>
      </c>
      <c r="L172" s="647" t="s">
        <v>4655</v>
      </c>
      <c r="M172" s="647" t="s">
        <v>3826</v>
      </c>
      <c r="N172" s="648" t="e">
        <v>#N/A</v>
      </c>
    </row>
    <row r="173" spans="1:14" x14ac:dyDescent="0.35">
      <c r="A173" s="647">
        <v>1575</v>
      </c>
      <c r="B173" s="647" t="s">
        <v>4656</v>
      </c>
      <c r="C173" s="647" t="s">
        <v>4657</v>
      </c>
      <c r="D173" s="647" t="s">
        <v>2348</v>
      </c>
      <c r="E173" s="647" t="s">
        <v>2336</v>
      </c>
      <c r="F173" s="647">
        <v>61820</v>
      </c>
      <c r="G173" s="647" t="s">
        <v>4658</v>
      </c>
      <c r="H173" s="649"/>
      <c r="I173" s="649"/>
      <c r="J173" s="647">
        <v>1917892</v>
      </c>
      <c r="K173" s="647" t="s">
        <v>4659</v>
      </c>
      <c r="L173" s="647" t="s">
        <v>4660</v>
      </c>
      <c r="M173" s="647" t="s">
        <v>3826</v>
      </c>
      <c r="N173" s="648" t="e">
        <v>#N/A</v>
      </c>
    </row>
    <row r="174" spans="1:14" x14ac:dyDescent="0.35">
      <c r="A174" s="647">
        <v>1579</v>
      </c>
      <c r="B174" s="647" t="s">
        <v>4661</v>
      </c>
      <c r="C174" s="647" t="s">
        <v>4662</v>
      </c>
      <c r="D174" s="647" t="s">
        <v>2348</v>
      </c>
      <c r="E174" s="647" t="s">
        <v>2336</v>
      </c>
      <c r="F174" s="647">
        <v>61820</v>
      </c>
      <c r="G174" s="647" t="s">
        <v>4663</v>
      </c>
      <c r="H174" s="649"/>
      <c r="I174" s="649"/>
      <c r="J174" s="647">
        <v>724786</v>
      </c>
      <c r="K174" s="647" t="s">
        <v>3880</v>
      </c>
      <c r="L174" s="647" t="s">
        <v>4664</v>
      </c>
      <c r="M174" s="647" t="s">
        <v>3826</v>
      </c>
      <c r="N174" s="648" t="e">
        <v>#N/A</v>
      </c>
    </row>
    <row r="175" spans="1:14" x14ac:dyDescent="0.35">
      <c r="A175" s="647">
        <v>1583</v>
      </c>
      <c r="B175" s="647" t="s">
        <v>4665</v>
      </c>
      <c r="C175" s="647" t="s">
        <v>4666</v>
      </c>
      <c r="D175" s="647" t="s">
        <v>2351</v>
      </c>
      <c r="E175" s="647" t="s">
        <v>2336</v>
      </c>
      <c r="F175" s="647">
        <v>60610</v>
      </c>
      <c r="G175" s="647" t="s">
        <v>4667</v>
      </c>
      <c r="H175" s="647" t="s">
        <v>3931</v>
      </c>
      <c r="I175" s="647" t="s">
        <v>3977</v>
      </c>
      <c r="J175" s="647">
        <v>83740911</v>
      </c>
      <c r="K175" s="647" t="s">
        <v>4668</v>
      </c>
      <c r="L175" s="647" t="s">
        <v>4669</v>
      </c>
      <c r="M175" s="647" t="s">
        <v>3836</v>
      </c>
      <c r="N175" s="648" t="e">
        <v>#N/A</v>
      </c>
    </row>
    <row r="176" spans="1:14" x14ac:dyDescent="0.35">
      <c r="A176" s="647">
        <v>1731</v>
      </c>
      <c r="B176" s="647" t="s">
        <v>4670</v>
      </c>
      <c r="C176" s="647" t="s">
        <v>4671</v>
      </c>
      <c r="D176" s="647" t="s">
        <v>2353</v>
      </c>
      <c r="E176" s="647" t="s">
        <v>2336</v>
      </c>
      <c r="F176" s="647">
        <v>61727</v>
      </c>
      <c r="G176" s="647" t="s">
        <v>4672</v>
      </c>
      <c r="H176" s="649"/>
      <c r="I176" s="649"/>
      <c r="J176" s="647">
        <v>754444</v>
      </c>
      <c r="K176" s="647" t="s">
        <v>3855</v>
      </c>
      <c r="L176" s="647" t="s">
        <v>2082</v>
      </c>
      <c r="M176" s="647" t="s">
        <v>3826</v>
      </c>
      <c r="N176" s="648" t="e">
        <v>#N/A</v>
      </c>
    </row>
    <row r="177" spans="1:14" x14ac:dyDescent="0.35">
      <c r="A177" s="647">
        <v>1735</v>
      </c>
      <c r="B177" s="647" t="s">
        <v>4673</v>
      </c>
      <c r="C177" s="647" t="s">
        <v>4674</v>
      </c>
      <c r="D177" s="647" t="s">
        <v>2355</v>
      </c>
      <c r="E177" s="647" t="s">
        <v>2336</v>
      </c>
      <c r="F177" s="647">
        <v>61832</v>
      </c>
      <c r="G177" s="647" t="s">
        <v>4675</v>
      </c>
      <c r="H177" s="647" t="s">
        <v>3931</v>
      </c>
      <c r="I177" s="647" t="s">
        <v>4502</v>
      </c>
      <c r="J177" s="647">
        <v>1356991</v>
      </c>
      <c r="K177" s="647" t="s">
        <v>4259</v>
      </c>
      <c r="L177" s="647" t="s">
        <v>4676</v>
      </c>
      <c r="M177" s="647" t="s">
        <v>3826</v>
      </c>
      <c r="N177" s="648">
        <v>40360</v>
      </c>
    </row>
    <row r="178" spans="1:14" x14ac:dyDescent="0.35">
      <c r="A178" s="647">
        <v>1739</v>
      </c>
      <c r="B178" s="647" t="s">
        <v>4677</v>
      </c>
      <c r="C178" s="647" t="s">
        <v>4678</v>
      </c>
      <c r="D178" s="647" t="s">
        <v>2357</v>
      </c>
      <c r="E178" s="647" t="s">
        <v>2336</v>
      </c>
      <c r="F178" s="647">
        <v>62526</v>
      </c>
      <c r="G178" s="647" t="s">
        <v>4679</v>
      </c>
      <c r="H178" s="647" t="s">
        <v>3931</v>
      </c>
      <c r="I178" s="647" t="s">
        <v>4502</v>
      </c>
      <c r="J178" s="647">
        <v>3211171</v>
      </c>
      <c r="K178" s="647" t="s">
        <v>3978</v>
      </c>
      <c r="L178" s="647" t="s">
        <v>4680</v>
      </c>
      <c r="M178" s="647" t="s">
        <v>3826</v>
      </c>
      <c r="N178" s="648">
        <v>40452</v>
      </c>
    </row>
    <row r="179" spans="1:14" x14ac:dyDescent="0.35">
      <c r="A179" s="647">
        <v>1743</v>
      </c>
      <c r="B179" s="647" t="s">
        <v>4681</v>
      </c>
      <c r="C179" s="647" t="s">
        <v>4682</v>
      </c>
      <c r="D179" s="647" t="s">
        <v>2359</v>
      </c>
      <c r="E179" s="647" t="s">
        <v>2336</v>
      </c>
      <c r="F179" s="647">
        <v>60115</v>
      </c>
      <c r="G179" s="647" t="s">
        <v>4683</v>
      </c>
      <c r="H179" s="647" t="s">
        <v>3931</v>
      </c>
      <c r="I179" s="647" t="s">
        <v>4502</v>
      </c>
      <c r="J179" s="647">
        <v>2795149</v>
      </c>
      <c r="K179" s="647" t="s">
        <v>3830</v>
      </c>
      <c r="L179" s="647" t="s">
        <v>4684</v>
      </c>
      <c r="M179" s="647" t="s">
        <v>3826</v>
      </c>
      <c r="N179" s="648">
        <v>40426</v>
      </c>
    </row>
    <row r="180" spans="1:14" x14ac:dyDescent="0.35">
      <c r="A180" s="647">
        <v>1747</v>
      </c>
      <c r="B180" s="647" t="s">
        <v>4685</v>
      </c>
      <c r="C180" s="647" t="s">
        <v>4686</v>
      </c>
      <c r="D180" s="647" t="s">
        <v>2361</v>
      </c>
      <c r="E180" s="647" t="s">
        <v>2336</v>
      </c>
      <c r="F180" s="647">
        <v>61021</v>
      </c>
      <c r="G180" s="647" t="s">
        <v>4687</v>
      </c>
      <c r="H180" s="647" t="s">
        <v>4688</v>
      </c>
      <c r="I180" s="647" t="s">
        <v>4279</v>
      </c>
      <c r="J180" s="647">
        <v>1213710</v>
      </c>
      <c r="K180" s="647" t="s">
        <v>4689</v>
      </c>
      <c r="L180" s="647" t="s">
        <v>4690</v>
      </c>
      <c r="M180" s="647" t="s">
        <v>3826</v>
      </c>
      <c r="N180" s="648" t="e">
        <v>#N/A</v>
      </c>
    </row>
    <row r="181" spans="1:14" x14ac:dyDescent="0.35">
      <c r="A181" s="647">
        <v>1751</v>
      </c>
      <c r="B181" s="647" t="s">
        <v>4691</v>
      </c>
      <c r="C181" s="647" t="s">
        <v>4692</v>
      </c>
      <c r="D181" s="647" t="s">
        <v>2363</v>
      </c>
      <c r="E181" s="647" t="s">
        <v>2336</v>
      </c>
      <c r="F181" s="647">
        <v>62220</v>
      </c>
      <c r="G181" s="647" t="s">
        <v>4693</v>
      </c>
      <c r="H181" s="647" t="s">
        <v>3931</v>
      </c>
      <c r="I181" s="647" t="s">
        <v>3977</v>
      </c>
      <c r="J181" s="647">
        <v>11357255</v>
      </c>
      <c r="K181" s="647" t="s">
        <v>4694</v>
      </c>
      <c r="L181" s="647" t="s">
        <v>4695</v>
      </c>
      <c r="M181" s="647" t="s">
        <v>3836</v>
      </c>
      <c r="N181" s="648">
        <v>40178</v>
      </c>
    </row>
    <row r="182" spans="1:14" x14ac:dyDescent="0.35">
      <c r="A182" s="647">
        <v>1752</v>
      </c>
      <c r="B182" s="647" t="s">
        <v>4696</v>
      </c>
      <c r="C182" s="647" t="s">
        <v>4697</v>
      </c>
      <c r="D182" s="647" t="s">
        <v>2365</v>
      </c>
      <c r="E182" s="647" t="s">
        <v>2336</v>
      </c>
      <c r="F182" s="647">
        <v>62401</v>
      </c>
      <c r="G182" s="647" t="s">
        <v>4698</v>
      </c>
      <c r="H182" s="647" t="s">
        <v>3931</v>
      </c>
      <c r="I182" s="647" t="s">
        <v>4502</v>
      </c>
      <c r="J182" s="647">
        <v>172033</v>
      </c>
      <c r="K182" s="647" t="s">
        <v>4699</v>
      </c>
      <c r="L182" s="647" t="s">
        <v>4700</v>
      </c>
      <c r="M182" s="647" t="s">
        <v>4078</v>
      </c>
      <c r="N182" s="648">
        <v>40117</v>
      </c>
    </row>
    <row r="183" spans="1:14" x14ac:dyDescent="0.35">
      <c r="A183" s="647">
        <v>1755</v>
      </c>
      <c r="B183" s="647" t="s">
        <v>4701</v>
      </c>
      <c r="C183" s="647" t="s">
        <v>4702</v>
      </c>
      <c r="D183" s="647" t="s">
        <v>2367</v>
      </c>
      <c r="E183" s="647" t="s">
        <v>2336</v>
      </c>
      <c r="F183" s="647">
        <v>62025</v>
      </c>
      <c r="G183" s="647" t="s">
        <v>4703</v>
      </c>
      <c r="H183" s="647" t="s">
        <v>3931</v>
      </c>
      <c r="I183" s="647" t="s">
        <v>3977</v>
      </c>
      <c r="J183" s="647">
        <v>5689238</v>
      </c>
      <c r="K183" s="647" t="s">
        <v>4628</v>
      </c>
      <c r="L183" s="647" t="s">
        <v>4704</v>
      </c>
      <c r="M183" s="647" t="s">
        <v>3826</v>
      </c>
      <c r="N183" s="648">
        <v>40179</v>
      </c>
    </row>
    <row r="184" spans="1:14" x14ac:dyDescent="0.35">
      <c r="A184" s="647">
        <v>1757</v>
      </c>
      <c r="B184" s="647" t="s">
        <v>4705</v>
      </c>
      <c r="C184" s="647" t="s">
        <v>4706</v>
      </c>
      <c r="D184" s="647" t="s">
        <v>2369</v>
      </c>
      <c r="E184" s="647" t="s">
        <v>2336</v>
      </c>
      <c r="F184" s="647">
        <v>60123</v>
      </c>
      <c r="G184" s="647" t="s">
        <v>4707</v>
      </c>
      <c r="H184" s="649"/>
      <c r="I184" s="649"/>
      <c r="J184" s="647">
        <v>2906452</v>
      </c>
      <c r="K184" s="647" t="s">
        <v>4169</v>
      </c>
      <c r="L184" s="647" t="s">
        <v>4708</v>
      </c>
      <c r="M184" s="647" t="s">
        <v>3826</v>
      </c>
      <c r="N184" s="648" t="e">
        <v>#N/A</v>
      </c>
    </row>
    <row r="185" spans="1:14" x14ac:dyDescent="0.35">
      <c r="A185" s="647">
        <v>1760</v>
      </c>
      <c r="B185" s="647" t="s">
        <v>4709</v>
      </c>
      <c r="C185" s="647" t="s">
        <v>4710</v>
      </c>
      <c r="D185" s="647" t="s">
        <v>2371</v>
      </c>
      <c r="E185" s="647" t="s">
        <v>2336</v>
      </c>
      <c r="F185" s="647">
        <v>60193</v>
      </c>
      <c r="G185" s="647" t="s">
        <v>4711</v>
      </c>
      <c r="H185" s="647" t="s">
        <v>3931</v>
      </c>
      <c r="I185" s="647" t="s">
        <v>4502</v>
      </c>
      <c r="J185" s="647">
        <v>2946811</v>
      </c>
      <c r="K185" s="647" t="s">
        <v>4628</v>
      </c>
      <c r="L185" s="647" t="s">
        <v>4712</v>
      </c>
      <c r="M185" s="647" t="s">
        <v>3826</v>
      </c>
      <c r="N185" s="648">
        <v>40360</v>
      </c>
    </row>
    <row r="186" spans="1:14" x14ac:dyDescent="0.35">
      <c r="A186" s="647">
        <v>1763</v>
      </c>
      <c r="B186" s="647" t="s">
        <v>4713</v>
      </c>
      <c r="C186" s="647" t="s">
        <v>4714</v>
      </c>
      <c r="D186" s="647" t="s">
        <v>2373</v>
      </c>
      <c r="E186" s="647" t="s">
        <v>2336</v>
      </c>
      <c r="F186" s="647">
        <v>60201</v>
      </c>
      <c r="G186" s="647" t="s">
        <v>4715</v>
      </c>
      <c r="H186" s="647" t="s">
        <v>3931</v>
      </c>
      <c r="I186" s="647" t="s">
        <v>3977</v>
      </c>
      <c r="J186" s="647">
        <v>10453897</v>
      </c>
      <c r="K186" s="647" t="s">
        <v>4288</v>
      </c>
      <c r="L186" s="647" t="s">
        <v>4716</v>
      </c>
      <c r="M186" s="647" t="s">
        <v>3826</v>
      </c>
      <c r="N186" s="648" t="e">
        <v>#N/A</v>
      </c>
    </row>
    <row r="187" spans="1:14" x14ac:dyDescent="0.35">
      <c r="A187" s="647">
        <v>1767</v>
      </c>
      <c r="B187" s="647" t="s">
        <v>4717</v>
      </c>
      <c r="C187" s="647" t="s">
        <v>4718</v>
      </c>
      <c r="D187" s="647" t="s">
        <v>2375</v>
      </c>
      <c r="E187" s="647" t="s">
        <v>2336</v>
      </c>
      <c r="F187" s="647" t="s">
        <v>4719</v>
      </c>
      <c r="G187" s="647" t="s">
        <v>4720</v>
      </c>
      <c r="H187" s="647" t="s">
        <v>3931</v>
      </c>
      <c r="I187" s="647" t="s">
        <v>4502</v>
      </c>
      <c r="J187" s="647">
        <v>119380</v>
      </c>
      <c r="K187" s="647" t="s">
        <v>4721</v>
      </c>
      <c r="L187" s="647" t="s">
        <v>4722</v>
      </c>
      <c r="M187" s="647" t="s">
        <v>4078</v>
      </c>
      <c r="N187" s="648">
        <v>40256</v>
      </c>
    </row>
    <row r="188" spans="1:14" x14ac:dyDescent="0.35">
      <c r="A188" s="647">
        <v>1771</v>
      </c>
      <c r="B188" s="647" t="s">
        <v>4723</v>
      </c>
      <c r="C188" s="647" t="s">
        <v>4724</v>
      </c>
      <c r="D188" s="647" t="s">
        <v>2377</v>
      </c>
      <c r="E188" s="647" t="s">
        <v>2336</v>
      </c>
      <c r="F188" s="647">
        <v>61032</v>
      </c>
      <c r="G188" s="647" t="s">
        <v>4725</v>
      </c>
      <c r="H188" s="647" t="s">
        <v>4688</v>
      </c>
      <c r="I188" s="647" t="s">
        <v>4264</v>
      </c>
      <c r="J188" s="647">
        <v>1804720</v>
      </c>
      <c r="K188" s="647" t="s">
        <v>3918</v>
      </c>
      <c r="L188" s="647" t="s">
        <v>4726</v>
      </c>
      <c r="M188" s="647" t="s">
        <v>3826</v>
      </c>
      <c r="N188" s="648" t="e">
        <v>#N/A</v>
      </c>
    </row>
    <row r="189" spans="1:14" x14ac:dyDescent="0.35">
      <c r="A189" s="647">
        <v>1775</v>
      </c>
      <c r="B189" s="647" t="s">
        <v>4727</v>
      </c>
      <c r="C189" s="647" t="s">
        <v>4728</v>
      </c>
      <c r="D189" s="647" t="s">
        <v>2379</v>
      </c>
      <c r="E189" s="647" t="s">
        <v>2336</v>
      </c>
      <c r="F189" s="647" t="s">
        <v>4729</v>
      </c>
      <c r="G189" s="647" t="s">
        <v>4730</v>
      </c>
      <c r="H189" s="647" t="s">
        <v>3931</v>
      </c>
      <c r="I189" s="647" t="s">
        <v>4264</v>
      </c>
      <c r="J189" s="647">
        <v>696424</v>
      </c>
      <c r="K189" s="647" t="s">
        <v>3840</v>
      </c>
      <c r="L189" s="647" t="s">
        <v>4731</v>
      </c>
      <c r="M189" s="647" t="s">
        <v>3826</v>
      </c>
      <c r="N189" s="648" t="e">
        <v>#N/A</v>
      </c>
    </row>
    <row r="190" spans="1:14" x14ac:dyDescent="0.35">
      <c r="A190" s="647">
        <v>1779</v>
      </c>
      <c r="B190" s="647" t="s">
        <v>4732</v>
      </c>
      <c r="C190" s="647" t="s">
        <v>4733</v>
      </c>
      <c r="D190" s="647" t="s">
        <v>2243</v>
      </c>
      <c r="E190" s="647" t="s">
        <v>2336</v>
      </c>
      <c r="F190" s="647">
        <v>62650</v>
      </c>
      <c r="G190" s="647" t="s">
        <v>4734</v>
      </c>
      <c r="H190" s="649"/>
      <c r="I190" s="649"/>
      <c r="J190" s="647">
        <v>894049</v>
      </c>
      <c r="K190" s="647" t="s">
        <v>4035</v>
      </c>
      <c r="L190" s="647" t="s">
        <v>4735</v>
      </c>
      <c r="M190" s="647" t="s">
        <v>3826</v>
      </c>
      <c r="N190" s="648" t="e">
        <v>#N/A</v>
      </c>
    </row>
    <row r="191" spans="1:14" x14ac:dyDescent="0.35">
      <c r="A191" s="647">
        <v>1785</v>
      </c>
      <c r="B191" s="647" t="s">
        <v>4736</v>
      </c>
      <c r="C191" s="647" t="s">
        <v>4737</v>
      </c>
      <c r="D191" s="647" t="s">
        <v>2382</v>
      </c>
      <c r="E191" s="647" t="s">
        <v>2336</v>
      </c>
      <c r="F191" s="647">
        <v>60431</v>
      </c>
      <c r="G191" s="647" t="s">
        <v>4738</v>
      </c>
      <c r="H191" s="647" t="s">
        <v>3931</v>
      </c>
      <c r="I191" s="647" t="s">
        <v>3977</v>
      </c>
      <c r="J191" s="647">
        <v>5364028</v>
      </c>
      <c r="K191" s="647" t="s">
        <v>4739</v>
      </c>
      <c r="L191" s="647" t="s">
        <v>4740</v>
      </c>
      <c r="M191" s="647" t="s">
        <v>3826</v>
      </c>
      <c r="N191" s="648">
        <v>40179</v>
      </c>
    </row>
    <row r="192" spans="1:14" x14ac:dyDescent="0.35">
      <c r="A192" s="647">
        <v>1793</v>
      </c>
      <c r="B192" s="647" t="s">
        <v>4741</v>
      </c>
      <c r="C192" s="647" t="s">
        <v>4742</v>
      </c>
      <c r="D192" s="647" t="s">
        <v>2384</v>
      </c>
      <c r="E192" s="647" t="s">
        <v>2336</v>
      </c>
      <c r="F192" s="647">
        <v>60901</v>
      </c>
      <c r="G192" s="647" t="s">
        <v>4743</v>
      </c>
      <c r="H192" s="647" t="s">
        <v>4688</v>
      </c>
      <c r="I192" s="647" t="s">
        <v>3977</v>
      </c>
      <c r="J192" s="647">
        <v>1614439</v>
      </c>
      <c r="K192" s="647" t="s">
        <v>4744</v>
      </c>
      <c r="L192" s="647" t="s">
        <v>4745</v>
      </c>
      <c r="M192" s="647" t="s">
        <v>3826</v>
      </c>
      <c r="N192" s="648">
        <v>40391</v>
      </c>
    </row>
    <row r="193" spans="1:14" x14ac:dyDescent="0.35">
      <c r="A193" s="647">
        <v>1801</v>
      </c>
      <c r="B193" s="647" t="s">
        <v>4746</v>
      </c>
      <c r="C193" s="647" t="s">
        <v>4747</v>
      </c>
      <c r="D193" s="647" t="s">
        <v>2386</v>
      </c>
      <c r="E193" s="647" t="s">
        <v>2336</v>
      </c>
      <c r="F193" s="647">
        <v>61443</v>
      </c>
      <c r="G193" s="647" t="s">
        <v>4748</v>
      </c>
      <c r="H193" s="647" t="s">
        <v>3931</v>
      </c>
      <c r="I193" s="647" t="s">
        <v>4502</v>
      </c>
      <c r="J193" s="647">
        <v>933092</v>
      </c>
      <c r="K193" s="647" t="s">
        <v>4749</v>
      </c>
      <c r="L193" s="647" t="s">
        <v>4750</v>
      </c>
      <c r="M193" s="647" t="s">
        <v>4078</v>
      </c>
      <c r="N193" s="648">
        <v>40241</v>
      </c>
    </row>
    <row r="194" spans="1:14" x14ac:dyDescent="0.35">
      <c r="A194" s="647">
        <v>1802</v>
      </c>
      <c r="B194" s="647" t="s">
        <v>4751</v>
      </c>
      <c r="C194" s="647" t="s">
        <v>4752</v>
      </c>
      <c r="D194" s="647" t="s">
        <v>2388</v>
      </c>
      <c r="E194" s="647" t="s">
        <v>2336</v>
      </c>
      <c r="F194" s="647">
        <v>62656</v>
      </c>
      <c r="G194" s="647" t="s">
        <v>4753</v>
      </c>
      <c r="H194" s="649"/>
      <c r="I194" s="649"/>
      <c r="J194" s="647">
        <v>433353</v>
      </c>
      <c r="K194" s="647" t="s">
        <v>4754</v>
      </c>
      <c r="L194" s="647" t="s">
        <v>4755</v>
      </c>
      <c r="M194" s="647" t="s">
        <v>3826</v>
      </c>
      <c r="N194" s="648" t="e">
        <v>#N/A</v>
      </c>
    </row>
    <row r="195" spans="1:14" x14ac:dyDescent="0.35">
      <c r="A195" s="647">
        <v>1805</v>
      </c>
      <c r="B195" s="647" t="s">
        <v>4756</v>
      </c>
      <c r="C195" s="647" t="s">
        <v>4757</v>
      </c>
      <c r="D195" s="647" t="s">
        <v>2390</v>
      </c>
      <c r="E195" s="647" t="s">
        <v>2336</v>
      </c>
      <c r="F195" s="647">
        <v>61401</v>
      </c>
      <c r="G195" s="647" t="s">
        <v>4758</v>
      </c>
      <c r="H195" s="647" t="s">
        <v>3931</v>
      </c>
      <c r="I195" s="647" t="s">
        <v>4264</v>
      </c>
      <c r="J195" s="647">
        <v>1544473</v>
      </c>
      <c r="K195" s="647" t="s">
        <v>4759</v>
      </c>
      <c r="L195" s="647" t="s">
        <v>4760</v>
      </c>
      <c r="M195" s="647" t="s">
        <v>4078</v>
      </c>
      <c r="N195" s="648" t="e">
        <v>#N/A</v>
      </c>
    </row>
    <row r="196" spans="1:14" x14ac:dyDescent="0.35">
      <c r="A196" s="647">
        <v>1809</v>
      </c>
      <c r="B196" s="647" t="s">
        <v>4761</v>
      </c>
      <c r="C196" s="647" t="s">
        <v>4762</v>
      </c>
      <c r="D196" s="647" t="s">
        <v>2392</v>
      </c>
      <c r="E196" s="647" t="s">
        <v>2336</v>
      </c>
      <c r="F196" s="647">
        <v>60014</v>
      </c>
      <c r="G196" s="647" t="s">
        <v>4763</v>
      </c>
      <c r="H196" s="649"/>
      <c r="I196" s="649"/>
      <c r="J196" s="647">
        <v>2302351</v>
      </c>
      <c r="K196" s="647" t="s">
        <v>3956</v>
      </c>
      <c r="L196" s="647" t="s">
        <v>4764</v>
      </c>
      <c r="M196" s="647" t="s">
        <v>3826</v>
      </c>
      <c r="N196" s="648" t="e">
        <v>#N/A</v>
      </c>
    </row>
    <row r="197" spans="1:14" x14ac:dyDescent="0.35">
      <c r="A197" s="647">
        <v>1815</v>
      </c>
      <c r="B197" s="647" t="s">
        <v>4765</v>
      </c>
      <c r="C197" s="647" t="s">
        <v>4766</v>
      </c>
      <c r="D197" s="647" t="s">
        <v>2394</v>
      </c>
      <c r="E197" s="647" t="s">
        <v>2336</v>
      </c>
      <c r="F197" s="647">
        <v>60148</v>
      </c>
      <c r="G197" s="647" t="s">
        <v>4767</v>
      </c>
      <c r="H197" s="649"/>
      <c r="I197" s="649"/>
      <c r="J197" s="647">
        <v>499615</v>
      </c>
      <c r="K197" s="647" t="s">
        <v>4768</v>
      </c>
      <c r="L197" s="647" t="s">
        <v>4769</v>
      </c>
      <c r="M197" s="647" t="s">
        <v>3826</v>
      </c>
      <c r="N197" s="648" t="e">
        <v>#N/A</v>
      </c>
    </row>
    <row r="198" spans="1:14" x14ac:dyDescent="0.35">
      <c r="A198" s="647">
        <v>1819</v>
      </c>
      <c r="B198" s="647" t="s">
        <v>4770</v>
      </c>
      <c r="C198" s="647" t="s">
        <v>4771</v>
      </c>
      <c r="D198" s="647" t="s">
        <v>2396</v>
      </c>
      <c r="E198" s="647" t="s">
        <v>2336</v>
      </c>
      <c r="F198" s="647">
        <v>61455</v>
      </c>
      <c r="G198" s="647" t="s">
        <v>4772</v>
      </c>
      <c r="H198" s="649"/>
      <c r="I198" s="649"/>
      <c r="J198" s="647">
        <v>1682768</v>
      </c>
      <c r="K198" s="647" t="s">
        <v>4540</v>
      </c>
      <c r="L198" s="647" t="s">
        <v>4773</v>
      </c>
      <c r="M198" s="647" t="s">
        <v>3826</v>
      </c>
      <c r="N198" s="648" t="e">
        <v>#N/A</v>
      </c>
    </row>
    <row r="199" spans="1:14" x14ac:dyDescent="0.35">
      <c r="A199" s="647">
        <v>1823</v>
      </c>
      <c r="B199" s="647" t="s">
        <v>4774</v>
      </c>
      <c r="C199" s="647" t="s">
        <v>4775</v>
      </c>
      <c r="D199" s="647" t="s">
        <v>2398</v>
      </c>
      <c r="E199" s="647" t="s">
        <v>2336</v>
      </c>
      <c r="F199" s="647">
        <v>61265</v>
      </c>
      <c r="G199" s="647" t="s">
        <v>4776</v>
      </c>
      <c r="H199" s="647" t="s">
        <v>4688</v>
      </c>
      <c r="I199" s="647" t="s">
        <v>4502</v>
      </c>
      <c r="J199" s="647">
        <v>4504066</v>
      </c>
      <c r="K199" s="647" t="s">
        <v>4777</v>
      </c>
      <c r="L199" s="647" t="s">
        <v>4778</v>
      </c>
      <c r="M199" s="647" t="s">
        <v>3826</v>
      </c>
      <c r="N199" s="648">
        <v>40374</v>
      </c>
    </row>
    <row r="200" spans="1:14" x14ac:dyDescent="0.35">
      <c r="A200" s="647">
        <v>1825</v>
      </c>
      <c r="B200" s="647" t="s">
        <v>4779</v>
      </c>
      <c r="C200" s="647" t="s">
        <v>4780</v>
      </c>
      <c r="D200" s="647" t="s">
        <v>2400</v>
      </c>
      <c r="E200" s="647" t="s">
        <v>2336</v>
      </c>
      <c r="F200" s="647">
        <v>61944</v>
      </c>
      <c r="G200" s="647" t="s">
        <v>4781</v>
      </c>
      <c r="H200" s="649"/>
      <c r="I200" s="649"/>
      <c r="J200" s="647">
        <v>586651</v>
      </c>
      <c r="K200" s="647" t="s">
        <v>4782</v>
      </c>
      <c r="L200" s="647" t="s">
        <v>4783</v>
      </c>
      <c r="M200" s="647" t="s">
        <v>3826</v>
      </c>
      <c r="N200" s="648" t="e">
        <v>#N/A</v>
      </c>
    </row>
    <row r="201" spans="1:14" x14ac:dyDescent="0.35">
      <c r="A201" s="647">
        <v>1827</v>
      </c>
      <c r="B201" s="647" t="s">
        <v>4784</v>
      </c>
      <c r="C201" s="647" t="s">
        <v>4785</v>
      </c>
      <c r="D201" s="647" t="s">
        <v>2402</v>
      </c>
      <c r="E201" s="647" t="s">
        <v>2336</v>
      </c>
      <c r="F201" s="647">
        <v>61938</v>
      </c>
      <c r="G201" s="647" t="s">
        <v>4786</v>
      </c>
      <c r="H201" s="647" t="s">
        <v>3931</v>
      </c>
      <c r="I201" s="647" t="s">
        <v>4502</v>
      </c>
      <c r="J201" s="647">
        <v>878819</v>
      </c>
      <c r="K201" s="647" t="s">
        <v>4453</v>
      </c>
      <c r="L201" s="647" t="s">
        <v>4787</v>
      </c>
      <c r="M201" s="647" t="s">
        <v>4788</v>
      </c>
      <c r="N201" s="648">
        <v>40299</v>
      </c>
    </row>
    <row r="202" spans="1:14" x14ac:dyDescent="0.35">
      <c r="A202" s="647">
        <v>1831</v>
      </c>
      <c r="B202" s="647" t="s">
        <v>4789</v>
      </c>
      <c r="C202" s="647" t="s">
        <v>4790</v>
      </c>
      <c r="D202" s="647" t="s">
        <v>2404</v>
      </c>
      <c r="E202" s="647" t="s">
        <v>2336</v>
      </c>
      <c r="F202" s="647" t="s">
        <v>4791</v>
      </c>
      <c r="G202" s="647" t="s">
        <v>4792</v>
      </c>
      <c r="H202" s="647" t="s">
        <v>4175</v>
      </c>
      <c r="I202" s="647" t="s">
        <v>4279</v>
      </c>
      <c r="J202" s="647">
        <v>409633</v>
      </c>
      <c r="K202" s="647" t="s">
        <v>4793</v>
      </c>
      <c r="L202" s="647" t="s">
        <v>4794</v>
      </c>
      <c r="M202" s="647" t="s">
        <v>3826</v>
      </c>
      <c r="N202" s="648" t="e">
        <v>#N/A</v>
      </c>
    </row>
    <row r="203" spans="1:14" x14ac:dyDescent="0.35">
      <c r="A203" s="647">
        <v>1835</v>
      </c>
      <c r="B203" s="647" t="s">
        <v>4795</v>
      </c>
      <c r="C203" s="647" t="s">
        <v>4796</v>
      </c>
      <c r="D203" s="647" t="s">
        <v>2406</v>
      </c>
      <c r="E203" s="647" t="s">
        <v>2336</v>
      </c>
      <c r="F203" s="647">
        <v>60564</v>
      </c>
      <c r="G203" s="647" t="s">
        <v>4797</v>
      </c>
      <c r="H203" s="647" t="s">
        <v>3931</v>
      </c>
      <c r="I203" s="647" t="s">
        <v>3977</v>
      </c>
      <c r="J203" s="647">
        <v>11604741</v>
      </c>
      <c r="K203" s="647" t="s">
        <v>4488</v>
      </c>
      <c r="L203" s="647" t="s">
        <v>4798</v>
      </c>
      <c r="M203" s="647" t="s">
        <v>3826</v>
      </c>
      <c r="N203" s="648">
        <v>40269</v>
      </c>
    </row>
    <row r="204" spans="1:14" x14ac:dyDescent="0.35">
      <c r="A204" s="647">
        <v>1839</v>
      </c>
      <c r="B204" s="647" t="s">
        <v>4799</v>
      </c>
      <c r="C204" s="647" t="s">
        <v>4800</v>
      </c>
      <c r="D204" s="647" t="s">
        <v>2408</v>
      </c>
      <c r="E204" s="647" t="s">
        <v>2336</v>
      </c>
      <c r="F204" s="647">
        <v>60062</v>
      </c>
      <c r="G204" s="647" t="s">
        <v>4801</v>
      </c>
      <c r="H204" s="649"/>
      <c r="I204" s="649"/>
      <c r="J204" s="647">
        <v>3009920</v>
      </c>
      <c r="K204" s="647" t="s">
        <v>4802</v>
      </c>
      <c r="L204" s="647" t="s">
        <v>4803</v>
      </c>
      <c r="M204" s="647" t="s">
        <v>3826</v>
      </c>
      <c r="N204" s="648" t="e">
        <v>#N/A</v>
      </c>
    </row>
    <row r="205" spans="1:14" x14ac:dyDescent="0.35">
      <c r="A205" s="647">
        <v>1843</v>
      </c>
      <c r="B205" s="647" t="s">
        <v>4804</v>
      </c>
      <c r="C205" s="647" t="s">
        <v>4805</v>
      </c>
      <c r="D205" s="647" t="s">
        <v>2410</v>
      </c>
      <c r="E205" s="647" t="s">
        <v>2336</v>
      </c>
      <c r="F205" s="647">
        <v>60137</v>
      </c>
      <c r="G205" s="647" t="s">
        <v>4806</v>
      </c>
      <c r="H205" s="649"/>
      <c r="I205" s="649"/>
      <c r="J205" s="647">
        <v>4232659</v>
      </c>
      <c r="K205" s="647" t="s">
        <v>4508</v>
      </c>
      <c r="L205" s="647" t="s">
        <v>4807</v>
      </c>
      <c r="M205" s="647" t="s">
        <v>3826</v>
      </c>
      <c r="N205" s="648" t="e">
        <v>#N/A</v>
      </c>
    </row>
    <row r="206" spans="1:14" x14ac:dyDescent="0.35">
      <c r="A206" s="647">
        <v>1851</v>
      </c>
      <c r="B206" s="647" t="s">
        <v>4808</v>
      </c>
      <c r="C206" s="647" t="s">
        <v>4809</v>
      </c>
      <c r="D206" s="647" t="s">
        <v>2412</v>
      </c>
      <c r="E206" s="647" t="s">
        <v>2336</v>
      </c>
      <c r="F206" s="647">
        <v>61350</v>
      </c>
      <c r="G206" s="647" t="s">
        <v>4810</v>
      </c>
      <c r="H206" s="649"/>
      <c r="I206" s="649"/>
      <c r="J206" s="647">
        <v>914368</v>
      </c>
      <c r="K206" s="647" t="s">
        <v>4169</v>
      </c>
      <c r="L206" s="647" t="s">
        <v>4811</v>
      </c>
      <c r="M206" s="647" t="s">
        <v>3826</v>
      </c>
      <c r="N206" s="648" t="e">
        <v>#N/A</v>
      </c>
    </row>
    <row r="207" spans="1:14" x14ac:dyDescent="0.35">
      <c r="A207" s="647">
        <v>1853</v>
      </c>
      <c r="B207" s="647" t="s">
        <v>4812</v>
      </c>
      <c r="C207" s="647" t="s">
        <v>4813</v>
      </c>
      <c r="D207" s="647" t="s">
        <v>2414</v>
      </c>
      <c r="E207" s="647" t="s">
        <v>2336</v>
      </c>
      <c r="F207" s="647">
        <v>60545</v>
      </c>
      <c r="G207" s="647" t="s">
        <v>4814</v>
      </c>
      <c r="H207" s="647" t="s">
        <v>3931</v>
      </c>
      <c r="I207" s="647" t="s">
        <v>4502</v>
      </c>
      <c r="J207" s="647">
        <v>3083016</v>
      </c>
      <c r="K207" s="647" t="s">
        <v>4815</v>
      </c>
      <c r="L207" s="647" t="s">
        <v>4816</v>
      </c>
      <c r="M207" s="647" t="s">
        <v>4009</v>
      </c>
      <c r="N207" s="648">
        <v>40422</v>
      </c>
    </row>
    <row r="208" spans="1:14" x14ac:dyDescent="0.35">
      <c r="A208" s="647">
        <v>1855</v>
      </c>
      <c r="B208" s="647" t="s">
        <v>4817</v>
      </c>
      <c r="C208" s="647" t="s">
        <v>4818</v>
      </c>
      <c r="D208" s="647" t="s">
        <v>2416</v>
      </c>
      <c r="E208" s="647" t="s">
        <v>2336</v>
      </c>
      <c r="F208" s="647">
        <v>61614</v>
      </c>
      <c r="G208" s="647" t="s">
        <v>4819</v>
      </c>
      <c r="H208" s="649"/>
      <c r="I208" s="649"/>
      <c r="J208" s="647">
        <v>2405072</v>
      </c>
      <c r="K208" s="647" t="s">
        <v>4777</v>
      </c>
      <c r="L208" s="647" t="s">
        <v>4820</v>
      </c>
      <c r="M208" s="647" t="s">
        <v>3826</v>
      </c>
      <c r="N208" s="648" t="e">
        <v>#N/A</v>
      </c>
    </row>
    <row r="209" spans="1:14" x14ac:dyDescent="0.35">
      <c r="A209" s="647">
        <v>1857</v>
      </c>
      <c r="B209" s="647" t="s">
        <v>4821</v>
      </c>
      <c r="C209" s="647" t="s">
        <v>4822</v>
      </c>
      <c r="D209" s="647" t="s">
        <v>2418</v>
      </c>
      <c r="E209" s="647" t="s">
        <v>2336</v>
      </c>
      <c r="F209" s="647">
        <v>61354</v>
      </c>
      <c r="G209" s="647" t="s">
        <v>4823</v>
      </c>
      <c r="H209" s="649"/>
      <c r="I209" s="649"/>
      <c r="J209" s="647">
        <v>2964232</v>
      </c>
      <c r="K209" s="647" t="s">
        <v>4164</v>
      </c>
      <c r="L209" s="647" t="s">
        <v>4824</v>
      </c>
      <c r="M209" s="647" t="s">
        <v>3826</v>
      </c>
      <c r="N209" s="648" t="e">
        <v>#N/A</v>
      </c>
    </row>
    <row r="210" spans="1:14" x14ac:dyDescent="0.35">
      <c r="A210" s="647">
        <v>1863</v>
      </c>
      <c r="B210" s="647" t="s">
        <v>4825</v>
      </c>
      <c r="C210" s="647" t="s">
        <v>4826</v>
      </c>
      <c r="D210" s="647" t="s">
        <v>2420</v>
      </c>
      <c r="E210" s="647" t="s">
        <v>2336</v>
      </c>
      <c r="F210" s="647">
        <v>62301</v>
      </c>
      <c r="G210" s="647" t="s">
        <v>4827</v>
      </c>
      <c r="H210" s="649"/>
      <c r="I210" s="649"/>
      <c r="J210" s="647">
        <v>2296099</v>
      </c>
      <c r="K210" s="647" t="s">
        <v>3860</v>
      </c>
      <c r="L210" s="647" t="s">
        <v>4828</v>
      </c>
      <c r="M210" s="647" t="s">
        <v>3826</v>
      </c>
      <c r="N210" s="648" t="e">
        <v>#N/A</v>
      </c>
    </row>
    <row r="211" spans="1:14" x14ac:dyDescent="0.35">
      <c r="A211" s="647">
        <v>1871</v>
      </c>
      <c r="B211" s="647" t="s">
        <v>4829</v>
      </c>
      <c r="C211" s="647" t="s">
        <v>4830</v>
      </c>
      <c r="D211" s="647" t="s">
        <v>2422</v>
      </c>
      <c r="E211" s="647" t="s">
        <v>2336</v>
      </c>
      <c r="F211" s="647">
        <v>61107</v>
      </c>
      <c r="G211" s="647" t="s">
        <v>4831</v>
      </c>
      <c r="H211" s="647" t="s">
        <v>4688</v>
      </c>
      <c r="I211" s="647" t="s">
        <v>3977</v>
      </c>
      <c r="J211" s="647">
        <v>8242261</v>
      </c>
      <c r="K211" s="647" t="s">
        <v>4832</v>
      </c>
      <c r="L211" s="647" t="s">
        <v>4802</v>
      </c>
      <c r="M211" s="647" t="s">
        <v>3826</v>
      </c>
      <c r="N211" s="648">
        <v>40422</v>
      </c>
    </row>
    <row r="212" spans="1:14" x14ac:dyDescent="0.35">
      <c r="A212" s="647">
        <v>1879</v>
      </c>
      <c r="B212" s="647" t="s">
        <v>4833</v>
      </c>
      <c r="C212" s="647" t="s">
        <v>4834</v>
      </c>
      <c r="D212" s="647" t="s">
        <v>2424</v>
      </c>
      <c r="E212" s="647" t="s">
        <v>2336</v>
      </c>
      <c r="F212" s="647">
        <v>62705</v>
      </c>
      <c r="G212" s="647" t="s">
        <v>4835</v>
      </c>
      <c r="H212" s="647" t="s">
        <v>3931</v>
      </c>
      <c r="I212" s="647" t="s">
        <v>4502</v>
      </c>
      <c r="J212" s="647">
        <v>2828057</v>
      </c>
      <c r="K212" s="647" t="s">
        <v>4654</v>
      </c>
      <c r="L212" s="647" t="s">
        <v>4836</v>
      </c>
      <c r="M212" s="647" t="s">
        <v>3826</v>
      </c>
      <c r="N212" s="648">
        <v>40179</v>
      </c>
    </row>
    <row r="213" spans="1:14" x14ac:dyDescent="0.35">
      <c r="A213" s="647">
        <v>1883</v>
      </c>
      <c r="B213" s="647" t="s">
        <v>4837</v>
      </c>
      <c r="C213" s="647" t="s">
        <v>4838</v>
      </c>
      <c r="D213" s="647" t="s">
        <v>2426</v>
      </c>
      <c r="E213" s="647" t="s">
        <v>2336</v>
      </c>
      <c r="F213" s="647">
        <v>61364</v>
      </c>
      <c r="G213" s="647" t="s">
        <v>4839</v>
      </c>
      <c r="H213" s="647" t="s">
        <v>3931</v>
      </c>
      <c r="I213" s="647" t="s">
        <v>4502</v>
      </c>
      <c r="J213" s="647">
        <v>1675706</v>
      </c>
      <c r="K213" s="647" t="s">
        <v>4001</v>
      </c>
      <c r="L213" s="647" t="s">
        <v>4840</v>
      </c>
      <c r="M213" s="647" t="s">
        <v>4078</v>
      </c>
      <c r="N213" s="648">
        <v>40179</v>
      </c>
    </row>
    <row r="214" spans="1:14" x14ac:dyDescent="0.35">
      <c r="A214" s="647">
        <v>1887</v>
      </c>
      <c r="B214" s="647" t="s">
        <v>4841</v>
      </c>
      <c r="C214" s="647" t="s">
        <v>4842</v>
      </c>
      <c r="D214" s="647" t="s">
        <v>2428</v>
      </c>
      <c r="E214" s="647" t="s">
        <v>2336</v>
      </c>
      <c r="F214" s="647">
        <v>29150</v>
      </c>
      <c r="G214" s="647" t="s">
        <v>4843</v>
      </c>
      <c r="H214" s="649"/>
      <c r="I214" s="649"/>
      <c r="J214" s="647">
        <v>446719</v>
      </c>
      <c r="K214" s="647" t="s">
        <v>4844</v>
      </c>
      <c r="L214" s="647" t="s">
        <v>4845</v>
      </c>
      <c r="M214" s="647" t="s">
        <v>3826</v>
      </c>
      <c r="N214" s="648" t="e">
        <v>#N/A</v>
      </c>
    </row>
    <row r="215" spans="1:14" x14ac:dyDescent="0.35">
      <c r="A215" s="647">
        <v>1889</v>
      </c>
      <c r="B215" s="647" t="s">
        <v>4846</v>
      </c>
      <c r="C215" s="647" t="s">
        <v>4847</v>
      </c>
      <c r="D215" s="647" t="s">
        <v>2430</v>
      </c>
      <c r="E215" s="647" t="s">
        <v>2336</v>
      </c>
      <c r="F215" s="647">
        <v>62568</v>
      </c>
      <c r="G215" s="647" t="s">
        <v>4848</v>
      </c>
      <c r="H215" s="649"/>
      <c r="I215" s="649"/>
      <c r="J215" s="647">
        <v>951903</v>
      </c>
      <c r="K215" s="647" t="s">
        <v>4849</v>
      </c>
      <c r="L215" s="647" t="s">
        <v>4850</v>
      </c>
      <c r="M215" s="647" t="s">
        <v>3826</v>
      </c>
      <c r="N215" s="648" t="e">
        <v>#N/A</v>
      </c>
    </row>
    <row r="216" spans="1:14" x14ac:dyDescent="0.35">
      <c r="A216" s="647">
        <v>1891</v>
      </c>
      <c r="B216" s="647" t="s">
        <v>4851</v>
      </c>
      <c r="C216" s="647" t="s">
        <v>4852</v>
      </c>
      <c r="D216" s="647" t="s">
        <v>2432</v>
      </c>
      <c r="E216" s="647" t="s">
        <v>2336</v>
      </c>
      <c r="F216" s="647">
        <v>61462</v>
      </c>
      <c r="G216" s="647" t="s">
        <v>4853</v>
      </c>
      <c r="H216" s="649"/>
      <c r="I216" s="649"/>
      <c r="J216" s="647">
        <v>728116</v>
      </c>
      <c r="K216" s="647" t="s">
        <v>4854</v>
      </c>
      <c r="L216" s="647" t="s">
        <v>4855</v>
      </c>
      <c r="M216" s="647" t="s">
        <v>3826</v>
      </c>
      <c r="N216" s="648" t="e">
        <v>#N/A</v>
      </c>
    </row>
    <row r="217" spans="1:14" x14ac:dyDescent="0.35">
      <c r="A217" s="647">
        <v>1892</v>
      </c>
      <c r="B217" s="647" t="s">
        <v>4856</v>
      </c>
      <c r="C217" s="647" t="s">
        <v>4857</v>
      </c>
      <c r="D217" s="647" t="s">
        <v>2434</v>
      </c>
      <c r="E217" s="647" t="s">
        <v>2336</v>
      </c>
      <c r="F217" s="647">
        <v>61231</v>
      </c>
      <c r="G217" s="647" t="s">
        <v>4858</v>
      </c>
      <c r="H217" s="649"/>
      <c r="I217" s="649"/>
      <c r="J217" s="647">
        <v>659110</v>
      </c>
      <c r="K217" s="647" t="s">
        <v>3880</v>
      </c>
      <c r="L217" s="647" t="s">
        <v>4859</v>
      </c>
      <c r="M217" s="647" t="s">
        <v>3826</v>
      </c>
      <c r="N217" s="648" t="e">
        <v>#N/A</v>
      </c>
    </row>
    <row r="218" spans="1:14" x14ac:dyDescent="0.35">
      <c r="A218" s="647">
        <v>1895</v>
      </c>
      <c r="B218" s="647" t="s">
        <v>4860</v>
      </c>
      <c r="C218" s="647" t="s">
        <v>4861</v>
      </c>
      <c r="D218" s="647" t="s">
        <v>2436</v>
      </c>
      <c r="E218" s="647" t="s">
        <v>2336</v>
      </c>
      <c r="F218" s="647">
        <v>60087</v>
      </c>
      <c r="G218" s="647" t="s">
        <v>4862</v>
      </c>
      <c r="H218" s="649"/>
      <c r="I218" s="649"/>
      <c r="J218" s="647">
        <v>9787479</v>
      </c>
      <c r="K218" s="647" t="s">
        <v>4164</v>
      </c>
      <c r="L218" s="647" t="s">
        <v>4182</v>
      </c>
      <c r="M218" s="647" t="s">
        <v>3826</v>
      </c>
      <c r="N218" s="648" t="e">
        <v>#N/A</v>
      </c>
    </row>
    <row r="219" spans="1:14" x14ac:dyDescent="0.35">
      <c r="A219" s="647">
        <v>1903</v>
      </c>
      <c r="B219" s="647" t="s">
        <v>4863</v>
      </c>
      <c r="C219" s="647" t="s">
        <v>4864</v>
      </c>
      <c r="D219" s="647" t="s">
        <v>2439</v>
      </c>
      <c r="E219" s="647" t="s">
        <v>2440</v>
      </c>
      <c r="F219" s="647">
        <v>46706</v>
      </c>
      <c r="G219" s="647" t="s">
        <v>4865</v>
      </c>
      <c r="H219" s="647" t="s">
        <v>4688</v>
      </c>
      <c r="I219" s="647" t="s">
        <v>3995</v>
      </c>
      <c r="J219" s="647">
        <v>1112591</v>
      </c>
      <c r="K219" s="647" t="s">
        <v>4231</v>
      </c>
      <c r="L219" s="647" t="s">
        <v>4866</v>
      </c>
      <c r="M219" s="647" t="s">
        <v>3826</v>
      </c>
      <c r="N219" s="648" t="e">
        <v>#N/A</v>
      </c>
    </row>
    <row r="220" spans="1:14" x14ac:dyDescent="0.35">
      <c r="A220" s="647">
        <v>1904</v>
      </c>
      <c r="B220" s="647" t="s">
        <v>4867</v>
      </c>
      <c r="C220" s="647" t="s">
        <v>4868</v>
      </c>
      <c r="D220" s="647" t="s">
        <v>2442</v>
      </c>
      <c r="E220" s="647" t="s">
        <v>2440</v>
      </c>
      <c r="F220" s="647">
        <v>50801</v>
      </c>
      <c r="G220" s="647" t="s">
        <v>4869</v>
      </c>
      <c r="H220" s="647" t="s">
        <v>4688</v>
      </c>
      <c r="I220" s="647" t="s">
        <v>3995</v>
      </c>
      <c r="J220" s="647">
        <v>1799348</v>
      </c>
      <c r="K220" s="647" t="s">
        <v>3824</v>
      </c>
      <c r="L220" s="647" t="s">
        <v>4870</v>
      </c>
      <c r="M220" s="647" t="s">
        <v>3826</v>
      </c>
      <c r="N220" s="648">
        <v>40355</v>
      </c>
    </row>
    <row r="221" spans="1:14" x14ac:dyDescent="0.35">
      <c r="A221" s="647">
        <v>1909</v>
      </c>
      <c r="B221" s="647" t="s">
        <v>4871</v>
      </c>
      <c r="C221" s="647" t="s">
        <v>4872</v>
      </c>
      <c r="D221" s="647" t="s">
        <v>2342</v>
      </c>
      <c r="E221" s="647" t="s">
        <v>2440</v>
      </c>
      <c r="F221" s="647">
        <v>47402</v>
      </c>
      <c r="G221" s="647" t="s">
        <v>4873</v>
      </c>
      <c r="H221" s="647" t="s">
        <v>4688</v>
      </c>
      <c r="I221" s="647" t="s">
        <v>3995</v>
      </c>
      <c r="J221" s="647">
        <v>3554946</v>
      </c>
      <c r="K221" s="647" t="s">
        <v>4874</v>
      </c>
      <c r="L221" s="647" t="s">
        <v>4875</v>
      </c>
      <c r="M221" s="647" t="s">
        <v>3826</v>
      </c>
      <c r="N221" s="648">
        <v>40391</v>
      </c>
    </row>
    <row r="222" spans="1:14" x14ac:dyDescent="0.35">
      <c r="A222" s="647">
        <v>1911</v>
      </c>
      <c r="B222" s="647" t="s">
        <v>4876</v>
      </c>
      <c r="C222" s="647" t="s">
        <v>4877</v>
      </c>
      <c r="D222" s="647" t="s">
        <v>2446</v>
      </c>
      <c r="E222" s="647" t="s">
        <v>2440</v>
      </c>
      <c r="F222" s="647">
        <v>47834</v>
      </c>
      <c r="G222" s="647" t="s">
        <v>4878</v>
      </c>
      <c r="H222" s="649"/>
      <c r="I222" s="649"/>
      <c r="J222" s="647">
        <v>773892</v>
      </c>
      <c r="K222" s="647" t="s">
        <v>4879</v>
      </c>
      <c r="L222" s="647" t="s">
        <v>4880</v>
      </c>
      <c r="M222" s="647" t="s">
        <v>3826</v>
      </c>
      <c r="N222" s="648" t="e">
        <v>#N/A</v>
      </c>
    </row>
    <row r="223" spans="1:14" x14ac:dyDescent="0.35">
      <c r="A223" s="647">
        <v>1917</v>
      </c>
      <c r="B223" s="647" t="s">
        <v>4881</v>
      </c>
      <c r="C223" s="647" t="s">
        <v>4882</v>
      </c>
      <c r="D223" s="647" t="s">
        <v>2448</v>
      </c>
      <c r="E223" s="647" t="s">
        <v>2440</v>
      </c>
      <c r="F223" s="647" t="s">
        <v>4883</v>
      </c>
      <c r="G223" s="647" t="s">
        <v>4884</v>
      </c>
      <c r="H223" s="647" t="s">
        <v>4688</v>
      </c>
      <c r="I223" s="647" t="s">
        <v>3925</v>
      </c>
      <c r="J223" s="647">
        <v>982858</v>
      </c>
      <c r="K223" s="647" t="s">
        <v>3885</v>
      </c>
      <c r="L223" s="647" t="s">
        <v>4885</v>
      </c>
      <c r="M223" s="647" t="s">
        <v>3826</v>
      </c>
      <c r="N223" s="648" t="e">
        <v>#N/A</v>
      </c>
    </row>
    <row r="224" spans="1:14" x14ac:dyDescent="0.35">
      <c r="A224" s="647">
        <v>1918</v>
      </c>
      <c r="B224" s="647" t="s">
        <v>4886</v>
      </c>
      <c r="C224" s="647" t="s">
        <v>4887</v>
      </c>
      <c r="D224" s="647" t="s">
        <v>2450</v>
      </c>
      <c r="E224" s="647" t="s">
        <v>2440</v>
      </c>
      <c r="F224" s="647">
        <v>46929</v>
      </c>
      <c r="G224" s="647" t="s">
        <v>4888</v>
      </c>
      <c r="H224" s="649"/>
      <c r="I224" s="649"/>
      <c r="J224" s="647"/>
      <c r="K224" s="647" t="s">
        <v>3855</v>
      </c>
      <c r="L224" s="647" t="s">
        <v>4889</v>
      </c>
      <c r="M224" s="647" t="s">
        <v>3826</v>
      </c>
      <c r="N224" s="648" t="e">
        <v>#N/A</v>
      </c>
    </row>
    <row r="225" spans="1:14" x14ac:dyDescent="0.35">
      <c r="A225" s="647">
        <v>1919</v>
      </c>
      <c r="B225" s="647" t="s">
        <v>4890</v>
      </c>
      <c r="C225" s="647" t="s">
        <v>4891</v>
      </c>
      <c r="D225" s="647" t="s">
        <v>2227</v>
      </c>
      <c r="E225" s="647" t="s">
        <v>2440</v>
      </c>
      <c r="F225" s="647">
        <v>47501</v>
      </c>
      <c r="G225" s="647" t="s">
        <v>4892</v>
      </c>
      <c r="H225" s="649"/>
      <c r="I225" s="649"/>
      <c r="J225" s="647">
        <v>745178</v>
      </c>
      <c r="K225" s="647" t="s">
        <v>4540</v>
      </c>
      <c r="L225" s="647" t="s">
        <v>4893</v>
      </c>
      <c r="M225" s="647" t="s">
        <v>3826</v>
      </c>
      <c r="N225" s="648" t="e">
        <v>#N/A</v>
      </c>
    </row>
    <row r="226" spans="1:14" x14ac:dyDescent="0.35">
      <c r="A226" s="647">
        <v>1920</v>
      </c>
      <c r="B226" s="647" t="s">
        <v>4894</v>
      </c>
      <c r="C226" s="647" t="s">
        <v>4895</v>
      </c>
      <c r="D226" s="647" t="s">
        <v>2453</v>
      </c>
      <c r="E226" s="647" t="s">
        <v>2440</v>
      </c>
      <c r="F226" s="647">
        <v>18512</v>
      </c>
      <c r="G226" s="647" t="s">
        <v>4896</v>
      </c>
      <c r="H226" s="649"/>
      <c r="I226" s="649"/>
      <c r="J226" s="647">
        <v>750378</v>
      </c>
      <c r="K226" s="647" t="s">
        <v>4897</v>
      </c>
      <c r="L226" s="647" t="s">
        <v>4898</v>
      </c>
      <c r="M226" s="647" t="s">
        <v>3826</v>
      </c>
      <c r="N226" s="648" t="e">
        <v>#N/A</v>
      </c>
    </row>
    <row r="227" spans="1:14" x14ac:dyDescent="0.35">
      <c r="A227" s="647">
        <v>1923</v>
      </c>
      <c r="B227" s="647" t="s">
        <v>4899</v>
      </c>
      <c r="C227" s="647" t="s">
        <v>4900</v>
      </c>
      <c r="D227" s="647" t="s">
        <v>2455</v>
      </c>
      <c r="E227" s="647" t="s">
        <v>2440</v>
      </c>
      <c r="F227" s="647">
        <v>47240</v>
      </c>
      <c r="G227" s="647" t="s">
        <v>4901</v>
      </c>
      <c r="H227" s="647" t="s">
        <v>4688</v>
      </c>
      <c r="I227" s="647" t="s">
        <v>4111</v>
      </c>
      <c r="J227" s="647">
        <v>994839</v>
      </c>
      <c r="K227" s="647" t="s">
        <v>4902</v>
      </c>
      <c r="L227" s="647" t="s">
        <v>4903</v>
      </c>
      <c r="M227" s="647" t="s">
        <v>3826</v>
      </c>
      <c r="N227" s="648">
        <v>40293</v>
      </c>
    </row>
    <row r="228" spans="1:14" x14ac:dyDescent="0.35">
      <c r="A228" s="647">
        <v>1924</v>
      </c>
      <c r="B228" s="647" t="s">
        <v>4904</v>
      </c>
      <c r="C228" s="647" t="s">
        <v>4905</v>
      </c>
      <c r="D228" s="647" t="s">
        <v>2457</v>
      </c>
      <c r="E228" s="647" t="s">
        <v>2440</v>
      </c>
      <c r="F228" s="647">
        <v>47265</v>
      </c>
      <c r="G228" s="647" t="s">
        <v>4906</v>
      </c>
      <c r="H228" s="649"/>
      <c r="I228" s="649"/>
      <c r="J228" s="647">
        <v>113767</v>
      </c>
      <c r="K228" s="647" t="s">
        <v>4164</v>
      </c>
      <c r="L228" s="647" t="s">
        <v>4855</v>
      </c>
      <c r="M228" s="647" t="s">
        <v>3826</v>
      </c>
      <c r="N228" s="648" t="e">
        <v>#N/A</v>
      </c>
    </row>
    <row r="229" spans="1:14" x14ac:dyDescent="0.35">
      <c r="A229" s="647">
        <v>1927</v>
      </c>
      <c r="B229" s="647" t="s">
        <v>4907</v>
      </c>
      <c r="C229" s="647" t="s">
        <v>4908</v>
      </c>
      <c r="D229" s="647" t="s">
        <v>2459</v>
      </c>
      <c r="E229" s="647" t="s">
        <v>2440</v>
      </c>
      <c r="F229" s="647">
        <v>46516</v>
      </c>
      <c r="G229" s="647" t="s">
        <v>4909</v>
      </c>
      <c r="H229" s="647" t="s">
        <v>4688</v>
      </c>
      <c r="I229" s="647" t="s">
        <v>4083</v>
      </c>
      <c r="J229" s="647">
        <v>2080429</v>
      </c>
      <c r="K229" s="647" t="s">
        <v>4910</v>
      </c>
      <c r="L229" s="647" t="s">
        <v>4911</v>
      </c>
      <c r="M229" s="647" t="s">
        <v>4078</v>
      </c>
      <c r="N229" s="648">
        <v>40291</v>
      </c>
    </row>
    <row r="230" spans="1:14" x14ac:dyDescent="0.35">
      <c r="A230" s="647">
        <v>1939</v>
      </c>
      <c r="B230" s="647" t="s">
        <v>4912</v>
      </c>
      <c r="C230" s="647" t="s">
        <v>4913</v>
      </c>
      <c r="D230" s="647" t="s">
        <v>2461</v>
      </c>
      <c r="E230" s="647" t="s">
        <v>2440</v>
      </c>
      <c r="F230" s="647">
        <v>47708</v>
      </c>
      <c r="G230" s="647" t="s">
        <v>4914</v>
      </c>
      <c r="H230" s="647" t="s">
        <v>4688</v>
      </c>
      <c r="I230" s="647" t="s">
        <v>4111</v>
      </c>
      <c r="J230" s="647">
        <v>7014287</v>
      </c>
      <c r="K230" s="647" t="s">
        <v>4915</v>
      </c>
      <c r="L230" s="647" t="s">
        <v>4916</v>
      </c>
      <c r="M230" s="647" t="s">
        <v>4078</v>
      </c>
      <c r="N230" s="648">
        <v>40347</v>
      </c>
    </row>
    <row r="231" spans="1:14" x14ac:dyDescent="0.35">
      <c r="A231" s="647">
        <v>1943</v>
      </c>
      <c r="B231" s="647" t="s">
        <v>4917</v>
      </c>
      <c r="C231" s="647" t="s">
        <v>4918</v>
      </c>
      <c r="D231" s="647" t="s">
        <v>2463</v>
      </c>
      <c r="E231" s="647" t="s">
        <v>2440</v>
      </c>
      <c r="F231" s="647" t="s">
        <v>4919</v>
      </c>
      <c r="G231" s="647" t="s">
        <v>4920</v>
      </c>
      <c r="H231" s="647" t="s">
        <v>4688</v>
      </c>
      <c r="I231" s="647" t="s">
        <v>3995</v>
      </c>
      <c r="J231" s="647">
        <v>11993889</v>
      </c>
      <c r="K231" s="647" t="s">
        <v>4921</v>
      </c>
      <c r="L231" s="647" t="s">
        <v>4922</v>
      </c>
      <c r="M231" s="647" t="s">
        <v>3826</v>
      </c>
      <c r="N231" s="648">
        <v>40374</v>
      </c>
    </row>
    <row r="232" spans="1:14" x14ac:dyDescent="0.35">
      <c r="A232" s="647">
        <v>1954</v>
      </c>
      <c r="B232" s="647" t="s">
        <v>4923</v>
      </c>
      <c r="C232" s="647" t="s">
        <v>4924</v>
      </c>
      <c r="D232" s="647" t="s">
        <v>2465</v>
      </c>
      <c r="E232" s="647" t="s">
        <v>2440</v>
      </c>
      <c r="F232" s="647">
        <v>47460</v>
      </c>
      <c r="G232" s="647" t="s">
        <v>4925</v>
      </c>
      <c r="H232" s="649"/>
      <c r="I232" s="649"/>
      <c r="J232" s="647">
        <v>595895</v>
      </c>
      <c r="K232" s="647" t="s">
        <v>4926</v>
      </c>
      <c r="L232" s="647" t="s">
        <v>4927</v>
      </c>
      <c r="M232" s="647" t="s">
        <v>3826</v>
      </c>
      <c r="N232" s="648" t="e">
        <v>#N/A</v>
      </c>
    </row>
    <row r="233" spans="1:14" x14ac:dyDescent="0.35">
      <c r="A233" s="647">
        <v>1971</v>
      </c>
      <c r="B233" s="647" t="s">
        <v>4928</v>
      </c>
      <c r="C233" s="647" t="s">
        <v>4929</v>
      </c>
      <c r="D233" s="647" t="s">
        <v>2467</v>
      </c>
      <c r="E233" s="647" t="s">
        <v>2440</v>
      </c>
      <c r="F233" s="647">
        <v>46307</v>
      </c>
      <c r="G233" s="647" t="s">
        <v>4930</v>
      </c>
      <c r="H233" s="647" t="s">
        <v>4688</v>
      </c>
      <c r="I233" s="647" t="s">
        <v>3995</v>
      </c>
      <c r="J233" s="647">
        <v>1857370</v>
      </c>
      <c r="K233" s="647" t="s">
        <v>4176</v>
      </c>
      <c r="L233" s="647" t="s">
        <v>4931</v>
      </c>
      <c r="M233" s="647" t="s">
        <v>3826</v>
      </c>
      <c r="N233" s="648">
        <v>40403</v>
      </c>
    </row>
    <row r="234" spans="1:14" x14ac:dyDescent="0.35">
      <c r="A234" s="647">
        <v>1975</v>
      </c>
      <c r="B234" s="647" t="s">
        <v>4932</v>
      </c>
      <c r="C234" s="647" t="s">
        <v>4933</v>
      </c>
      <c r="D234" s="647" t="s">
        <v>2469</v>
      </c>
      <c r="E234" s="647" t="s">
        <v>2440</v>
      </c>
      <c r="F234" s="647">
        <v>46342</v>
      </c>
      <c r="G234" s="647" t="s">
        <v>4934</v>
      </c>
      <c r="H234" s="647" t="s">
        <v>4688</v>
      </c>
      <c r="I234" s="647" t="s">
        <v>4111</v>
      </c>
      <c r="J234" s="647">
        <v>1000164</v>
      </c>
      <c r="K234" s="647" t="s">
        <v>4935</v>
      </c>
      <c r="L234" s="647" t="s">
        <v>4936</v>
      </c>
      <c r="M234" s="647" t="s">
        <v>3826</v>
      </c>
      <c r="N234" s="648">
        <v>40299</v>
      </c>
    </row>
    <row r="235" spans="1:14" x14ac:dyDescent="0.35">
      <c r="A235" s="647">
        <v>1979</v>
      </c>
      <c r="B235" s="647" t="s">
        <v>4937</v>
      </c>
      <c r="C235" s="647" t="s">
        <v>4938</v>
      </c>
      <c r="D235" s="647" t="s">
        <v>2471</v>
      </c>
      <c r="E235" s="647" t="s">
        <v>2440</v>
      </c>
      <c r="F235" s="647">
        <v>46324</v>
      </c>
      <c r="G235" s="647" t="s">
        <v>4939</v>
      </c>
      <c r="H235" s="647" t="s">
        <v>4688</v>
      </c>
      <c r="I235" s="647" t="s">
        <v>4083</v>
      </c>
      <c r="J235" s="647">
        <v>1293502</v>
      </c>
      <c r="K235" s="647" t="s">
        <v>4940</v>
      </c>
      <c r="L235" s="647" t="s">
        <v>4941</v>
      </c>
      <c r="M235" s="647" t="s">
        <v>3826</v>
      </c>
      <c r="N235" s="648">
        <v>40360</v>
      </c>
    </row>
    <row r="236" spans="1:14" x14ac:dyDescent="0.35">
      <c r="A236" s="647">
        <v>1981</v>
      </c>
      <c r="B236" s="647" t="s">
        <v>4942</v>
      </c>
      <c r="C236" s="647" t="s">
        <v>4943</v>
      </c>
      <c r="D236" s="647" t="s">
        <v>2473</v>
      </c>
      <c r="E236" s="647" t="s">
        <v>2440</v>
      </c>
      <c r="F236" s="647">
        <v>47448</v>
      </c>
      <c r="G236" s="647" t="s">
        <v>4944</v>
      </c>
      <c r="H236" s="647" t="s">
        <v>4688</v>
      </c>
      <c r="I236" s="647" t="s">
        <v>4279</v>
      </c>
      <c r="J236" s="647">
        <v>487404</v>
      </c>
      <c r="K236" s="647" t="s">
        <v>4945</v>
      </c>
      <c r="L236" s="647" t="s">
        <v>4850</v>
      </c>
      <c r="M236" s="647" t="s">
        <v>3826</v>
      </c>
      <c r="N236" s="648" t="e">
        <v>#N/A</v>
      </c>
    </row>
    <row r="237" spans="1:14" x14ac:dyDescent="0.35">
      <c r="A237" s="647">
        <v>1983</v>
      </c>
      <c r="B237" s="647" t="s">
        <v>4946</v>
      </c>
      <c r="C237" s="647" t="s">
        <v>4947</v>
      </c>
      <c r="D237" s="647" t="s">
        <v>2475</v>
      </c>
      <c r="E237" s="647" t="s">
        <v>2440</v>
      </c>
      <c r="F237" s="647">
        <v>46750</v>
      </c>
      <c r="G237" s="647" t="s">
        <v>4948</v>
      </c>
      <c r="H237" s="647" t="s">
        <v>4688</v>
      </c>
      <c r="I237" s="647" t="s">
        <v>4083</v>
      </c>
      <c r="J237" s="647">
        <v>877493</v>
      </c>
      <c r="K237" s="647" t="s">
        <v>4777</v>
      </c>
      <c r="L237" s="647" t="s">
        <v>4949</v>
      </c>
      <c r="M237" s="647" t="s">
        <v>3826</v>
      </c>
      <c r="N237" s="648">
        <v>40229</v>
      </c>
    </row>
    <row r="238" spans="1:14" x14ac:dyDescent="0.35">
      <c r="A238" s="647">
        <v>1987</v>
      </c>
      <c r="B238" s="647" t="s">
        <v>4950</v>
      </c>
      <c r="C238" s="647" t="s">
        <v>4951</v>
      </c>
      <c r="D238" s="647" t="s">
        <v>2477</v>
      </c>
      <c r="E238" s="647" t="s">
        <v>2440</v>
      </c>
      <c r="F238" s="647">
        <v>46204</v>
      </c>
      <c r="G238" s="647" t="s">
        <v>4952</v>
      </c>
      <c r="H238" s="647" t="s">
        <v>4688</v>
      </c>
      <c r="I238" s="647" t="s">
        <v>4083</v>
      </c>
      <c r="J238" s="647">
        <v>34378141</v>
      </c>
      <c r="K238" s="647" t="s">
        <v>3865</v>
      </c>
      <c r="L238" s="647" t="s">
        <v>2665</v>
      </c>
      <c r="M238" s="647" t="s">
        <v>3826</v>
      </c>
      <c r="N238" s="648">
        <v>40178</v>
      </c>
    </row>
    <row r="239" spans="1:14" x14ac:dyDescent="0.35">
      <c r="A239" s="647">
        <v>1992</v>
      </c>
      <c r="B239" s="647" t="s">
        <v>4953</v>
      </c>
      <c r="C239" s="647" t="s">
        <v>4954</v>
      </c>
      <c r="D239" s="647" t="s">
        <v>4955</v>
      </c>
      <c r="E239" s="647" t="s">
        <v>2440</v>
      </c>
      <c r="F239" s="647">
        <v>47424</v>
      </c>
      <c r="G239" s="647" t="s">
        <v>4956</v>
      </c>
      <c r="H239" s="649"/>
      <c r="I239" s="649"/>
      <c r="J239" s="647"/>
      <c r="K239" s="647" t="s">
        <v>4023</v>
      </c>
      <c r="L239" s="647" t="s">
        <v>4957</v>
      </c>
      <c r="M239" s="647" t="s">
        <v>3826</v>
      </c>
      <c r="N239" s="648" t="e">
        <v>#N/A</v>
      </c>
    </row>
    <row r="240" spans="1:14" x14ac:dyDescent="0.35">
      <c r="A240" s="647">
        <v>1998</v>
      </c>
      <c r="B240" s="647" t="s">
        <v>4958</v>
      </c>
      <c r="C240" s="647" t="s">
        <v>4959</v>
      </c>
      <c r="D240" s="647" t="s">
        <v>2479</v>
      </c>
      <c r="E240" s="647" t="s">
        <v>2440</v>
      </c>
      <c r="F240" s="647">
        <v>47112</v>
      </c>
      <c r="G240" s="647" t="s">
        <v>4960</v>
      </c>
      <c r="H240" s="647" t="s">
        <v>4688</v>
      </c>
      <c r="I240" s="647" t="s">
        <v>4083</v>
      </c>
      <c r="J240" s="647">
        <v>1222087</v>
      </c>
      <c r="K240" s="647" t="s">
        <v>4961</v>
      </c>
      <c r="L240" s="647" t="s">
        <v>4962</v>
      </c>
      <c r="M240" s="647" t="s">
        <v>4078</v>
      </c>
      <c r="N240" s="648">
        <v>40391</v>
      </c>
    </row>
    <row r="241" spans="1:14" x14ac:dyDescent="0.35">
      <c r="A241" s="647">
        <v>2000</v>
      </c>
      <c r="B241" s="647" t="s">
        <v>4963</v>
      </c>
      <c r="C241" s="647" t="s">
        <v>4964</v>
      </c>
      <c r="D241" s="647" t="s">
        <v>2481</v>
      </c>
      <c r="E241" s="647" t="s">
        <v>2440</v>
      </c>
      <c r="F241" s="647">
        <v>46992</v>
      </c>
      <c r="G241" s="647" t="s">
        <v>4965</v>
      </c>
      <c r="H241" s="647" t="s">
        <v>4688</v>
      </c>
      <c r="I241" s="647" t="s">
        <v>4111</v>
      </c>
      <c r="J241" s="647">
        <v>365372</v>
      </c>
      <c r="K241" s="647" t="s">
        <v>4966</v>
      </c>
      <c r="L241" s="647" t="s">
        <v>4967</v>
      </c>
      <c r="M241" s="647" t="s">
        <v>3826</v>
      </c>
      <c r="N241" s="648">
        <v>40269</v>
      </c>
    </row>
    <row r="242" spans="1:14" x14ac:dyDescent="0.35">
      <c r="A242" s="647">
        <v>2008</v>
      </c>
      <c r="B242" s="647" t="s">
        <v>4968</v>
      </c>
      <c r="C242" s="647" t="s">
        <v>4969</v>
      </c>
      <c r="D242" s="647" t="s">
        <v>2483</v>
      </c>
      <c r="E242" s="647" t="s">
        <v>2440</v>
      </c>
      <c r="F242" s="647">
        <v>46052</v>
      </c>
      <c r="G242" s="647" t="s">
        <v>4970</v>
      </c>
      <c r="H242" s="649"/>
      <c r="I242" s="649"/>
      <c r="J242" s="647">
        <v>135994</v>
      </c>
      <c r="K242" s="647" t="s">
        <v>4023</v>
      </c>
      <c r="L242" s="647" t="s">
        <v>3005</v>
      </c>
      <c r="M242" s="647" t="s">
        <v>3826</v>
      </c>
      <c r="N242" s="648" t="e">
        <v>#N/A</v>
      </c>
    </row>
    <row r="243" spans="1:14" x14ac:dyDescent="0.35">
      <c r="A243" s="647">
        <v>2018</v>
      </c>
      <c r="B243" s="647" t="s">
        <v>4971</v>
      </c>
      <c r="C243" s="647" t="s">
        <v>4972</v>
      </c>
      <c r="D243" s="647" t="s">
        <v>2485</v>
      </c>
      <c r="E243" s="647" t="s">
        <v>2440</v>
      </c>
      <c r="F243" s="647">
        <v>53186</v>
      </c>
      <c r="G243" s="647" t="s">
        <v>4973</v>
      </c>
      <c r="H243" s="649"/>
      <c r="I243" s="649"/>
      <c r="J243" s="647">
        <v>327653</v>
      </c>
      <c r="K243" s="647" t="s">
        <v>4974</v>
      </c>
      <c r="L243" s="647" t="s">
        <v>4975</v>
      </c>
      <c r="M243" s="647" t="s">
        <v>3826</v>
      </c>
      <c r="N243" s="648" t="e">
        <v>#N/A</v>
      </c>
    </row>
    <row r="244" spans="1:14" x14ac:dyDescent="0.35">
      <c r="A244" s="647">
        <v>2020</v>
      </c>
      <c r="B244" s="647" t="s">
        <v>4976</v>
      </c>
      <c r="C244" s="647" t="s">
        <v>4977</v>
      </c>
      <c r="D244" s="647" t="s">
        <v>2487</v>
      </c>
      <c r="E244" s="647" t="s">
        <v>2440</v>
      </c>
      <c r="F244" s="647">
        <v>10591</v>
      </c>
      <c r="G244" s="647" t="s">
        <v>4978</v>
      </c>
      <c r="H244" s="649"/>
      <c r="I244" s="649"/>
      <c r="J244" s="647">
        <v>795584</v>
      </c>
      <c r="K244" s="647" t="s">
        <v>4503</v>
      </c>
      <c r="L244" s="647" t="s">
        <v>4536</v>
      </c>
      <c r="M244" s="647" t="s">
        <v>3826</v>
      </c>
      <c r="N244" s="648" t="e">
        <v>#N/A</v>
      </c>
    </row>
    <row r="245" spans="1:14" x14ac:dyDescent="0.35">
      <c r="A245" s="647">
        <v>2025</v>
      </c>
      <c r="B245" s="647" t="s">
        <v>4979</v>
      </c>
      <c r="C245" s="647" t="s">
        <v>4980</v>
      </c>
      <c r="D245" s="647" t="s">
        <v>2489</v>
      </c>
      <c r="E245" s="647" t="s">
        <v>2440</v>
      </c>
      <c r="F245" s="647">
        <v>46307</v>
      </c>
      <c r="G245" s="647" t="s">
        <v>4981</v>
      </c>
      <c r="H245" s="647" t="s">
        <v>4688</v>
      </c>
      <c r="I245" s="647" t="s">
        <v>4111</v>
      </c>
      <c r="J245" s="647">
        <v>4479548</v>
      </c>
      <c r="K245" s="647" t="s">
        <v>4399</v>
      </c>
      <c r="L245" s="647" t="s">
        <v>4982</v>
      </c>
      <c r="M245" s="647" t="s">
        <v>4078</v>
      </c>
      <c r="N245" s="648">
        <v>40360</v>
      </c>
    </row>
    <row r="246" spans="1:14" x14ac:dyDescent="0.35">
      <c r="A246" s="647">
        <v>2027</v>
      </c>
      <c r="B246" s="647" t="s">
        <v>4983</v>
      </c>
      <c r="C246" s="647" t="s">
        <v>4984</v>
      </c>
      <c r="D246" s="647" t="s">
        <v>2491</v>
      </c>
      <c r="E246" s="647" t="s">
        <v>2440</v>
      </c>
      <c r="F246" s="647">
        <v>46151</v>
      </c>
      <c r="G246" s="647" t="s">
        <v>4985</v>
      </c>
      <c r="H246" s="649"/>
      <c r="I246" s="649"/>
      <c r="J246" s="647">
        <v>959260</v>
      </c>
      <c r="K246" s="647" t="s">
        <v>4293</v>
      </c>
      <c r="L246" s="647" t="s">
        <v>4986</v>
      </c>
      <c r="M246" s="647" t="s">
        <v>3826</v>
      </c>
      <c r="N246" s="648" t="e">
        <v>#N/A</v>
      </c>
    </row>
    <row r="247" spans="1:14" x14ac:dyDescent="0.35">
      <c r="A247" s="647">
        <v>2029</v>
      </c>
      <c r="B247" s="647" t="s">
        <v>4987</v>
      </c>
      <c r="C247" s="647" t="s">
        <v>4988</v>
      </c>
      <c r="D247" s="647" t="s">
        <v>2493</v>
      </c>
      <c r="E247" s="647" t="s">
        <v>2440</v>
      </c>
      <c r="F247" s="647">
        <v>47655</v>
      </c>
      <c r="G247" s="647" t="s">
        <v>4989</v>
      </c>
      <c r="H247" s="647" t="s">
        <v>4688</v>
      </c>
      <c r="I247" s="647" t="s">
        <v>4083</v>
      </c>
      <c r="J247" s="647">
        <v>1263534</v>
      </c>
      <c r="K247" s="647" t="s">
        <v>3860</v>
      </c>
      <c r="L247" s="647" t="s">
        <v>4990</v>
      </c>
      <c r="M247" s="647" t="s">
        <v>3826</v>
      </c>
      <c r="N247" s="648">
        <v>40460</v>
      </c>
    </row>
    <row r="248" spans="1:14" x14ac:dyDescent="0.35">
      <c r="A248" s="647">
        <v>2031</v>
      </c>
      <c r="B248" s="647" t="s">
        <v>4991</v>
      </c>
      <c r="C248" s="647" t="s">
        <v>4992</v>
      </c>
      <c r="D248" s="647" t="s">
        <v>2495</v>
      </c>
      <c r="E248" s="647" t="s">
        <v>2440</v>
      </c>
      <c r="F248" s="647">
        <v>46901</v>
      </c>
      <c r="G248" s="647" t="s">
        <v>4993</v>
      </c>
      <c r="H248" s="649"/>
      <c r="I248" s="649"/>
      <c r="J248" s="647">
        <v>1739932</v>
      </c>
      <c r="K248" s="647" t="s">
        <v>4503</v>
      </c>
      <c r="L248" s="647" t="s">
        <v>3394</v>
      </c>
      <c r="M248" s="647" t="s">
        <v>3826</v>
      </c>
      <c r="N248" s="648" t="e">
        <v>#N/A</v>
      </c>
    </row>
    <row r="249" spans="1:14" x14ac:dyDescent="0.35">
      <c r="A249" s="647">
        <v>2035</v>
      </c>
      <c r="B249" s="647" t="s">
        <v>4994</v>
      </c>
      <c r="C249" s="647" t="s">
        <v>4995</v>
      </c>
      <c r="D249" s="647" t="s">
        <v>2497</v>
      </c>
      <c r="E249" s="647" t="s">
        <v>2440</v>
      </c>
      <c r="F249" s="647">
        <v>46580</v>
      </c>
      <c r="G249" s="647" t="s">
        <v>4996</v>
      </c>
      <c r="H249" s="649"/>
      <c r="I249" s="649"/>
      <c r="J249" s="647">
        <v>2051456</v>
      </c>
      <c r="K249" s="647" t="s">
        <v>4488</v>
      </c>
      <c r="L249" s="647" t="s">
        <v>4997</v>
      </c>
      <c r="M249" s="647" t="s">
        <v>3826</v>
      </c>
      <c r="N249" s="648" t="e">
        <v>#N/A</v>
      </c>
    </row>
    <row r="250" spans="1:14" x14ac:dyDescent="0.35">
      <c r="A250" s="647">
        <v>2039</v>
      </c>
      <c r="B250" s="647" t="s">
        <v>4998</v>
      </c>
      <c r="C250" s="647" t="s">
        <v>4999</v>
      </c>
      <c r="D250" s="647" t="s">
        <v>2499</v>
      </c>
      <c r="E250" s="647" t="s">
        <v>2440</v>
      </c>
      <c r="F250" s="647">
        <v>47905</v>
      </c>
      <c r="G250" s="647" t="s">
        <v>5000</v>
      </c>
      <c r="H250" s="647" t="s">
        <v>4688</v>
      </c>
      <c r="I250" s="647" t="s">
        <v>3995</v>
      </c>
      <c r="J250" s="647">
        <v>1896887</v>
      </c>
      <c r="K250" s="647" t="s">
        <v>3978</v>
      </c>
      <c r="L250" s="647" t="s">
        <v>5001</v>
      </c>
      <c r="M250" s="647" t="s">
        <v>3826</v>
      </c>
      <c r="N250" s="648">
        <v>40453</v>
      </c>
    </row>
    <row r="251" spans="1:14" x14ac:dyDescent="0.35">
      <c r="A251" s="647">
        <v>2043</v>
      </c>
      <c r="B251" s="647" t="s">
        <v>5002</v>
      </c>
      <c r="C251" s="647" t="s">
        <v>5003</v>
      </c>
      <c r="D251" s="647" t="s">
        <v>2501</v>
      </c>
      <c r="E251" s="647" t="s">
        <v>2440</v>
      </c>
      <c r="F251" s="647">
        <v>46350</v>
      </c>
      <c r="G251" s="647" t="s">
        <v>5004</v>
      </c>
      <c r="H251" s="647" t="s">
        <v>4688</v>
      </c>
      <c r="I251" s="647" t="s">
        <v>4083</v>
      </c>
      <c r="J251" s="647">
        <v>2268222</v>
      </c>
      <c r="K251" s="647" t="s">
        <v>4408</v>
      </c>
      <c r="L251" s="647" t="s">
        <v>5005</v>
      </c>
      <c r="M251" s="647" t="s">
        <v>3826</v>
      </c>
      <c r="N251" s="648">
        <v>40312</v>
      </c>
    </row>
    <row r="252" spans="1:14" x14ac:dyDescent="0.35">
      <c r="A252" s="647">
        <v>2045</v>
      </c>
      <c r="B252" s="647" t="s">
        <v>5006</v>
      </c>
      <c r="C252" s="647" t="s">
        <v>5007</v>
      </c>
      <c r="D252" s="647" t="s">
        <v>2503</v>
      </c>
      <c r="E252" s="647" t="s">
        <v>2440</v>
      </c>
      <c r="F252" s="647">
        <v>46703</v>
      </c>
      <c r="G252" s="647" t="s">
        <v>5008</v>
      </c>
      <c r="H252" s="649"/>
      <c r="I252" s="649"/>
      <c r="J252" s="647">
        <v>1496348</v>
      </c>
      <c r="K252" s="647" t="s">
        <v>5009</v>
      </c>
      <c r="L252" s="647" t="s">
        <v>5010</v>
      </c>
      <c r="M252" s="647" t="s">
        <v>3826</v>
      </c>
      <c r="N252" s="648" t="e">
        <v>#N/A</v>
      </c>
    </row>
    <row r="253" spans="1:14" x14ac:dyDescent="0.35">
      <c r="A253" s="647">
        <v>2047</v>
      </c>
      <c r="B253" s="647" t="s">
        <v>5011</v>
      </c>
      <c r="C253" s="647" t="s">
        <v>5012</v>
      </c>
      <c r="D253" s="647" t="s">
        <v>2505</v>
      </c>
      <c r="E253" s="647" t="s">
        <v>2440</v>
      </c>
      <c r="F253" s="647">
        <v>46947</v>
      </c>
      <c r="G253" s="647" t="s">
        <v>5013</v>
      </c>
      <c r="H253" s="649"/>
      <c r="I253" s="649"/>
      <c r="J253" s="647">
        <v>793794</v>
      </c>
      <c r="K253" s="647" t="s">
        <v>5014</v>
      </c>
      <c r="L253" s="647" t="s">
        <v>5015</v>
      </c>
      <c r="M253" s="647" t="s">
        <v>3826</v>
      </c>
      <c r="N253" s="648" t="e">
        <v>#N/A</v>
      </c>
    </row>
    <row r="254" spans="1:14" x14ac:dyDescent="0.35">
      <c r="A254" s="647">
        <v>2049</v>
      </c>
      <c r="B254" s="647" t="s">
        <v>5016</v>
      </c>
      <c r="C254" s="647" t="s">
        <v>5017</v>
      </c>
      <c r="D254" s="647" t="s">
        <v>2507</v>
      </c>
      <c r="E254" s="647" t="s">
        <v>2440</v>
      </c>
      <c r="F254" s="647">
        <v>46996</v>
      </c>
      <c r="G254" s="647" t="s">
        <v>5018</v>
      </c>
      <c r="H254" s="649"/>
      <c r="I254" s="649"/>
      <c r="J254" s="647">
        <v>149790</v>
      </c>
      <c r="K254" s="647" t="s">
        <v>5019</v>
      </c>
      <c r="L254" s="647" t="s">
        <v>5020</v>
      </c>
      <c r="M254" s="647" t="s">
        <v>3826</v>
      </c>
      <c r="N254" s="648" t="e">
        <v>#N/A</v>
      </c>
    </row>
    <row r="255" spans="1:14" x14ac:dyDescent="0.35">
      <c r="A255" s="647">
        <v>2051</v>
      </c>
      <c r="B255" s="647" t="s">
        <v>5021</v>
      </c>
      <c r="C255" s="647" t="s">
        <v>4852</v>
      </c>
      <c r="D255" s="647" t="s">
        <v>2509</v>
      </c>
      <c r="E255" s="647" t="s">
        <v>2440</v>
      </c>
      <c r="F255" s="647" t="s">
        <v>5022</v>
      </c>
      <c r="G255" s="647" t="s">
        <v>5023</v>
      </c>
      <c r="H255" s="647" t="s">
        <v>4688</v>
      </c>
      <c r="I255" s="647" t="s">
        <v>3995</v>
      </c>
      <c r="J255" s="647">
        <v>1375683</v>
      </c>
      <c r="K255" s="647" t="s">
        <v>3885</v>
      </c>
      <c r="L255" s="647" t="s">
        <v>5024</v>
      </c>
      <c r="M255" s="647" t="s">
        <v>3826</v>
      </c>
      <c r="N255" s="648">
        <v>40483</v>
      </c>
    </row>
    <row r="256" spans="1:14" x14ac:dyDescent="0.35">
      <c r="A256" s="647">
        <v>2063</v>
      </c>
      <c r="B256" s="647" t="s">
        <v>5025</v>
      </c>
      <c r="C256" s="647" t="s">
        <v>5026</v>
      </c>
      <c r="D256" s="647" t="s">
        <v>2511</v>
      </c>
      <c r="E256" s="647" t="s">
        <v>2440</v>
      </c>
      <c r="F256" s="647">
        <v>46952</v>
      </c>
      <c r="G256" s="647" t="s">
        <v>5027</v>
      </c>
      <c r="H256" s="647" t="s">
        <v>4688</v>
      </c>
      <c r="I256" s="647" t="s">
        <v>3995</v>
      </c>
      <c r="J256" s="647">
        <v>816793</v>
      </c>
      <c r="K256" s="647" t="s">
        <v>4001</v>
      </c>
      <c r="L256" s="647" t="s">
        <v>5028</v>
      </c>
      <c r="M256" s="647" t="s">
        <v>3826</v>
      </c>
      <c r="N256" s="648">
        <v>40360</v>
      </c>
    </row>
    <row r="257" spans="1:14" x14ac:dyDescent="0.35">
      <c r="A257" s="647">
        <v>2067</v>
      </c>
      <c r="B257" s="647" t="s">
        <v>5029</v>
      </c>
      <c r="C257" s="647" t="s">
        <v>5030</v>
      </c>
      <c r="D257" s="647" t="s">
        <v>5031</v>
      </c>
      <c r="E257" s="647" t="s">
        <v>2440</v>
      </c>
      <c r="F257" s="647">
        <v>46360</v>
      </c>
      <c r="G257" s="647" t="s">
        <v>5032</v>
      </c>
      <c r="H257" s="649"/>
      <c r="I257" s="649"/>
      <c r="J257" s="647"/>
      <c r="K257" s="647" t="s">
        <v>5033</v>
      </c>
      <c r="L257" s="647" t="s">
        <v>5034</v>
      </c>
      <c r="M257" s="647" t="s">
        <v>3826</v>
      </c>
      <c r="N257" s="648" t="e">
        <v>#N/A</v>
      </c>
    </row>
    <row r="258" spans="1:14" x14ac:dyDescent="0.35">
      <c r="A258" s="647">
        <v>2071</v>
      </c>
      <c r="B258" s="647" t="s">
        <v>5035</v>
      </c>
      <c r="C258" s="647" t="s">
        <v>5036</v>
      </c>
      <c r="D258" s="647" t="s">
        <v>2513</v>
      </c>
      <c r="E258" s="647" t="s">
        <v>2440</v>
      </c>
      <c r="F258" s="647">
        <v>47305</v>
      </c>
      <c r="G258" s="647" t="s">
        <v>5037</v>
      </c>
      <c r="H258" s="649"/>
      <c r="I258" s="649"/>
      <c r="J258" s="647">
        <v>5886126</v>
      </c>
      <c r="K258" s="647" t="s">
        <v>5038</v>
      </c>
      <c r="L258" s="647" t="s">
        <v>5039</v>
      </c>
      <c r="M258" s="647" t="s">
        <v>3826</v>
      </c>
      <c r="N258" s="648" t="e">
        <v>#N/A</v>
      </c>
    </row>
    <row r="259" spans="1:14" x14ac:dyDescent="0.35">
      <c r="A259" s="647">
        <v>2079</v>
      </c>
      <c r="B259" s="647" t="s">
        <v>5040</v>
      </c>
      <c r="C259" s="647" t="s">
        <v>5041</v>
      </c>
      <c r="D259" s="647" t="s">
        <v>2515</v>
      </c>
      <c r="E259" s="647" t="s">
        <v>2440</v>
      </c>
      <c r="F259" s="647">
        <v>47362</v>
      </c>
      <c r="G259" s="647" t="s">
        <v>5042</v>
      </c>
      <c r="H259" s="647" t="s">
        <v>4688</v>
      </c>
      <c r="I259" s="647" t="s">
        <v>4111</v>
      </c>
      <c r="J259" s="647">
        <v>942474</v>
      </c>
      <c r="K259" s="647" t="s">
        <v>3912</v>
      </c>
      <c r="L259" s="647" t="s">
        <v>3957</v>
      </c>
      <c r="M259" s="647" t="s">
        <v>4078</v>
      </c>
      <c r="N259" s="648">
        <v>40448</v>
      </c>
    </row>
    <row r="260" spans="1:14" x14ac:dyDescent="0.35">
      <c r="A260" s="647">
        <v>2083</v>
      </c>
      <c r="B260" s="647" t="s">
        <v>5043</v>
      </c>
      <c r="C260" s="647" t="s">
        <v>5044</v>
      </c>
      <c r="D260" s="647" t="s">
        <v>2418</v>
      </c>
      <c r="E260" s="647" t="s">
        <v>2440</v>
      </c>
      <c r="F260" s="647">
        <v>46970</v>
      </c>
      <c r="G260" s="647" t="s">
        <v>5045</v>
      </c>
      <c r="H260" s="649"/>
      <c r="I260" s="649"/>
      <c r="J260" s="647">
        <v>1352916</v>
      </c>
      <c r="K260" s="647" t="s">
        <v>4369</v>
      </c>
      <c r="L260" s="647" t="s">
        <v>5046</v>
      </c>
      <c r="M260" s="647" t="s">
        <v>3826</v>
      </c>
      <c r="N260" s="648" t="e">
        <v>#N/A</v>
      </c>
    </row>
    <row r="261" spans="1:14" x14ac:dyDescent="0.35">
      <c r="A261" s="647">
        <v>2087</v>
      </c>
      <c r="B261" s="647" t="s">
        <v>5047</v>
      </c>
      <c r="C261" s="647" t="s">
        <v>5048</v>
      </c>
      <c r="D261" s="647" t="s">
        <v>2518</v>
      </c>
      <c r="E261" s="647" t="s">
        <v>2440</v>
      </c>
      <c r="F261" s="647">
        <v>46383</v>
      </c>
      <c r="G261" s="647" t="s">
        <v>5049</v>
      </c>
      <c r="H261" s="647" t="s">
        <v>4688</v>
      </c>
      <c r="I261" s="647" t="s">
        <v>3995</v>
      </c>
      <c r="J261" s="647">
        <v>3021781</v>
      </c>
      <c r="K261" s="647" t="s">
        <v>3885</v>
      </c>
      <c r="L261" s="647" t="s">
        <v>5050</v>
      </c>
      <c r="M261" s="647" t="s">
        <v>3826</v>
      </c>
      <c r="N261" s="648">
        <v>40330</v>
      </c>
    </row>
    <row r="262" spans="1:14" x14ac:dyDescent="0.35">
      <c r="A262" s="647">
        <v>2089</v>
      </c>
      <c r="B262" s="647" t="s">
        <v>5051</v>
      </c>
      <c r="C262" s="647" t="s">
        <v>5052</v>
      </c>
      <c r="D262" s="647" t="s">
        <v>2520</v>
      </c>
      <c r="E262" s="647" t="s">
        <v>2440</v>
      </c>
      <c r="F262" s="647">
        <v>46368</v>
      </c>
      <c r="G262" s="647" t="s">
        <v>5053</v>
      </c>
      <c r="H262" s="649"/>
      <c r="I262" s="649"/>
      <c r="J262" s="647">
        <v>1696169</v>
      </c>
      <c r="K262" s="647" t="s">
        <v>4164</v>
      </c>
      <c r="L262" s="647" t="s">
        <v>5054</v>
      </c>
      <c r="M262" s="647" t="s">
        <v>3826</v>
      </c>
      <c r="N262" s="648" t="e">
        <v>#N/A</v>
      </c>
    </row>
    <row r="263" spans="1:14" x14ac:dyDescent="0.35">
      <c r="A263" s="647">
        <v>2091</v>
      </c>
      <c r="B263" s="647" t="s">
        <v>5055</v>
      </c>
      <c r="C263" s="647" t="s">
        <v>5056</v>
      </c>
      <c r="D263" s="647" t="s">
        <v>2522</v>
      </c>
      <c r="E263" s="647" t="s">
        <v>2440</v>
      </c>
      <c r="F263" s="647">
        <v>46304</v>
      </c>
      <c r="G263" s="647" t="s">
        <v>5057</v>
      </c>
      <c r="H263" s="647" t="s">
        <v>4688</v>
      </c>
      <c r="I263" s="647" t="s">
        <v>4111</v>
      </c>
      <c r="J263" s="647">
        <v>1202636</v>
      </c>
      <c r="K263" s="647" t="s">
        <v>5058</v>
      </c>
      <c r="L263" s="647" t="s">
        <v>5059</v>
      </c>
      <c r="M263" s="647" t="s">
        <v>3826</v>
      </c>
      <c r="N263" s="648">
        <v>40360</v>
      </c>
    </row>
    <row r="264" spans="1:14" x14ac:dyDescent="0.35">
      <c r="A264" s="647">
        <v>2095</v>
      </c>
      <c r="B264" s="647" t="s">
        <v>5060</v>
      </c>
      <c r="C264" s="647" t="s">
        <v>5061</v>
      </c>
      <c r="D264" s="647" t="s">
        <v>2524</v>
      </c>
      <c r="E264" s="647" t="s">
        <v>2440</v>
      </c>
      <c r="F264" s="647">
        <v>47374</v>
      </c>
      <c r="G264" s="647" t="s">
        <v>5062</v>
      </c>
      <c r="H264" s="647" t="s">
        <v>4688</v>
      </c>
      <c r="I264" s="647" t="s">
        <v>3995</v>
      </c>
      <c r="J264" s="647">
        <v>298040</v>
      </c>
      <c r="K264" s="647" t="s">
        <v>3945</v>
      </c>
      <c r="L264" s="647" t="s">
        <v>5063</v>
      </c>
      <c r="M264" s="647" t="s">
        <v>5064</v>
      </c>
      <c r="N264" s="648">
        <v>40452</v>
      </c>
    </row>
    <row r="265" spans="1:14" x14ac:dyDescent="0.35">
      <c r="A265" s="647">
        <v>2096</v>
      </c>
      <c r="B265" s="647" t="s">
        <v>5065</v>
      </c>
      <c r="C265" s="647" t="s">
        <v>5066</v>
      </c>
      <c r="D265" s="647" t="s">
        <v>2526</v>
      </c>
      <c r="E265" s="647" t="s">
        <v>2440</v>
      </c>
      <c r="F265" s="647">
        <v>47394</v>
      </c>
      <c r="G265" s="647" t="s">
        <v>5067</v>
      </c>
      <c r="H265" s="647" t="s">
        <v>4688</v>
      </c>
      <c r="I265" s="647" t="s">
        <v>4083</v>
      </c>
      <c r="J265" s="647">
        <v>559396</v>
      </c>
      <c r="K265" s="647" t="s">
        <v>5068</v>
      </c>
      <c r="L265" s="647" t="s">
        <v>5069</v>
      </c>
      <c r="M265" s="647" t="s">
        <v>3826</v>
      </c>
      <c r="N265" s="648">
        <v>40466</v>
      </c>
    </row>
    <row r="266" spans="1:14" x14ac:dyDescent="0.35">
      <c r="A266" s="647">
        <v>2099</v>
      </c>
      <c r="B266" s="647" t="s">
        <v>5070</v>
      </c>
      <c r="C266" s="647" t="s">
        <v>5071</v>
      </c>
      <c r="D266" s="647" t="s">
        <v>5072</v>
      </c>
      <c r="E266" s="647" t="s">
        <v>2440</v>
      </c>
      <c r="F266" s="647">
        <v>46615</v>
      </c>
      <c r="G266" s="647" t="s">
        <v>5073</v>
      </c>
      <c r="H266" s="647" t="s">
        <v>4688</v>
      </c>
      <c r="I266" s="647" t="s">
        <v>3995</v>
      </c>
      <c r="J266" s="647"/>
      <c r="K266" s="647" t="s">
        <v>5074</v>
      </c>
      <c r="L266" s="647" t="s">
        <v>5075</v>
      </c>
      <c r="M266" s="647" t="s">
        <v>3826</v>
      </c>
      <c r="N266" s="648">
        <v>40360</v>
      </c>
    </row>
    <row r="267" spans="1:14" x14ac:dyDescent="0.35">
      <c r="A267" s="647">
        <v>2115</v>
      </c>
      <c r="B267" s="647" t="s">
        <v>5076</v>
      </c>
      <c r="C267" s="647" t="s">
        <v>5077</v>
      </c>
      <c r="D267" s="647" t="s">
        <v>5078</v>
      </c>
      <c r="E267" s="647" t="s">
        <v>2440</v>
      </c>
      <c r="F267" s="647" t="s">
        <v>5079</v>
      </c>
      <c r="G267" s="647" t="s">
        <v>5080</v>
      </c>
      <c r="H267" s="649"/>
      <c r="I267" s="649"/>
      <c r="J267" s="647"/>
      <c r="K267" s="647" t="s">
        <v>4265</v>
      </c>
      <c r="L267" s="647" t="s">
        <v>5081</v>
      </c>
      <c r="M267" s="647" t="s">
        <v>3826</v>
      </c>
      <c r="N267" s="648" t="e">
        <v>#N/A</v>
      </c>
    </row>
    <row r="268" spans="1:14" x14ac:dyDescent="0.35">
      <c r="A268" s="647">
        <v>2119</v>
      </c>
      <c r="B268" s="647" t="s">
        <v>5082</v>
      </c>
      <c r="C268" s="647" t="s">
        <v>5083</v>
      </c>
      <c r="D268" s="647" t="s">
        <v>2528</v>
      </c>
      <c r="E268" s="647" t="s">
        <v>2440</v>
      </c>
      <c r="F268" s="647">
        <v>47591</v>
      </c>
      <c r="G268" s="647" t="s">
        <v>5084</v>
      </c>
      <c r="H268" s="647" t="s">
        <v>4688</v>
      </c>
      <c r="I268" s="647" t="s">
        <v>3925</v>
      </c>
      <c r="J268" s="647">
        <v>2507223</v>
      </c>
      <c r="K268" s="647" t="s">
        <v>5085</v>
      </c>
      <c r="L268" s="647" t="s">
        <v>5086</v>
      </c>
      <c r="M268" s="647" t="s">
        <v>3826</v>
      </c>
      <c r="N268" s="648" t="e">
        <v>#N/A</v>
      </c>
    </row>
    <row r="269" spans="1:14" x14ac:dyDescent="0.35">
      <c r="A269" s="647">
        <v>2121</v>
      </c>
      <c r="B269" s="647" t="s">
        <v>5087</v>
      </c>
      <c r="C269" s="647" t="s">
        <v>5088</v>
      </c>
      <c r="D269" s="647" t="s">
        <v>2530</v>
      </c>
      <c r="E269" s="647" t="s">
        <v>2531</v>
      </c>
      <c r="F269" s="647">
        <v>50022</v>
      </c>
      <c r="G269" s="647" t="s">
        <v>5089</v>
      </c>
      <c r="H269" s="649"/>
      <c r="I269" s="649"/>
      <c r="J269" s="647">
        <v>922559</v>
      </c>
      <c r="K269" s="647" t="s">
        <v>4777</v>
      </c>
      <c r="L269" s="647" t="s">
        <v>5090</v>
      </c>
      <c r="M269" s="647" t="s">
        <v>3826</v>
      </c>
      <c r="N269" s="648" t="e">
        <v>#N/A</v>
      </c>
    </row>
    <row r="270" spans="1:14" x14ac:dyDescent="0.35">
      <c r="A270" s="647">
        <v>2124</v>
      </c>
      <c r="B270" s="647" t="s">
        <v>5091</v>
      </c>
      <c r="C270" s="647" t="s">
        <v>5092</v>
      </c>
      <c r="D270" s="647" t="s">
        <v>2533</v>
      </c>
      <c r="E270" s="647" t="s">
        <v>2531</v>
      </c>
      <c r="F270" s="647">
        <v>50511</v>
      </c>
      <c r="G270" s="647" t="s">
        <v>5093</v>
      </c>
      <c r="H270" s="647" t="s">
        <v>3994</v>
      </c>
      <c r="I270" s="647" t="s">
        <v>4279</v>
      </c>
      <c r="J270" s="647">
        <v>827114</v>
      </c>
      <c r="K270" s="647" t="s">
        <v>3926</v>
      </c>
      <c r="L270" s="647" t="s">
        <v>5094</v>
      </c>
      <c r="M270" s="647" t="s">
        <v>3826</v>
      </c>
      <c r="N270" s="648" t="e">
        <v>#N/A</v>
      </c>
    </row>
    <row r="271" spans="1:14" x14ac:dyDescent="0.35">
      <c r="A271" s="647">
        <v>2128</v>
      </c>
      <c r="B271" s="647" t="s">
        <v>5095</v>
      </c>
      <c r="C271" s="647" t="s">
        <v>5096</v>
      </c>
      <c r="D271" s="647" t="s">
        <v>2535</v>
      </c>
      <c r="E271" s="647" t="s">
        <v>2440</v>
      </c>
      <c r="F271" s="647">
        <v>35401</v>
      </c>
      <c r="G271" s="647" t="s">
        <v>5097</v>
      </c>
      <c r="H271" s="647" t="s">
        <v>4688</v>
      </c>
      <c r="I271" s="647" t="s">
        <v>4264</v>
      </c>
      <c r="J271" s="647">
        <v>593791</v>
      </c>
      <c r="K271" s="647" t="s">
        <v>5098</v>
      </c>
      <c r="L271" s="647" t="s">
        <v>5099</v>
      </c>
      <c r="M271" s="647" t="s">
        <v>5100</v>
      </c>
      <c r="N271" s="648" t="e">
        <v>#N/A</v>
      </c>
    </row>
    <row r="272" spans="1:14" x14ac:dyDescent="0.35">
      <c r="A272" s="647">
        <v>2131</v>
      </c>
      <c r="B272" s="647" t="s">
        <v>5101</v>
      </c>
      <c r="C272" s="647" t="s">
        <v>5102</v>
      </c>
      <c r="D272" s="647" t="s">
        <v>2537</v>
      </c>
      <c r="E272" s="647" t="s">
        <v>2531</v>
      </c>
      <c r="F272" s="647">
        <v>52601</v>
      </c>
      <c r="G272" s="647" t="s">
        <v>5103</v>
      </c>
      <c r="H272" s="647" t="s">
        <v>3994</v>
      </c>
      <c r="I272" s="647" t="s">
        <v>3925</v>
      </c>
      <c r="J272" s="647">
        <v>854102</v>
      </c>
      <c r="K272" s="647" t="s">
        <v>5104</v>
      </c>
      <c r="L272" s="647" t="s">
        <v>5105</v>
      </c>
      <c r="M272" s="647" t="s">
        <v>4078</v>
      </c>
      <c r="N272" s="648">
        <v>40179</v>
      </c>
    </row>
    <row r="273" spans="1:14" x14ac:dyDescent="0.35">
      <c r="A273" s="647">
        <v>2134</v>
      </c>
      <c r="B273" s="647" t="s">
        <v>5106</v>
      </c>
      <c r="C273" s="647" t="s">
        <v>5107</v>
      </c>
      <c r="D273" s="647" t="s">
        <v>2539</v>
      </c>
      <c r="E273" s="647" t="s">
        <v>2531</v>
      </c>
      <c r="F273" s="647">
        <v>52401</v>
      </c>
      <c r="G273" s="647" t="s">
        <v>5108</v>
      </c>
      <c r="H273" s="647" t="s">
        <v>3994</v>
      </c>
      <c r="I273" s="647" t="s">
        <v>3925</v>
      </c>
      <c r="J273" s="647">
        <v>4339614</v>
      </c>
      <c r="K273" s="647" t="s">
        <v>3885</v>
      </c>
      <c r="L273" s="647" t="s">
        <v>5109</v>
      </c>
      <c r="M273" s="647" t="s">
        <v>3826</v>
      </c>
      <c r="N273" s="648">
        <v>40299</v>
      </c>
    </row>
    <row r="274" spans="1:14" x14ac:dyDescent="0.35">
      <c r="A274" s="647">
        <v>2149</v>
      </c>
      <c r="B274" s="647" t="s">
        <v>5110</v>
      </c>
      <c r="C274" s="647" t="s">
        <v>5111</v>
      </c>
      <c r="D274" s="647" t="s">
        <v>2541</v>
      </c>
      <c r="E274" s="647" t="s">
        <v>2531</v>
      </c>
      <c r="F274" s="647">
        <v>50616</v>
      </c>
      <c r="G274" s="647" t="s">
        <v>5112</v>
      </c>
      <c r="H274" s="647" t="s">
        <v>3994</v>
      </c>
      <c r="I274" s="647" t="s">
        <v>3925</v>
      </c>
      <c r="J274" s="647">
        <v>533342</v>
      </c>
      <c r="K274" s="647" t="s">
        <v>5028</v>
      </c>
      <c r="L274" s="647" t="s">
        <v>5113</v>
      </c>
      <c r="M274" s="647" t="s">
        <v>4078</v>
      </c>
      <c r="N274" s="648" t="e">
        <v>#N/A</v>
      </c>
    </row>
    <row r="275" spans="1:14" x14ac:dyDescent="0.35">
      <c r="A275" s="647">
        <v>2153</v>
      </c>
      <c r="B275" s="647" t="s">
        <v>5114</v>
      </c>
      <c r="C275" s="647" t="s">
        <v>5115</v>
      </c>
      <c r="D275" s="647" t="s">
        <v>2353</v>
      </c>
      <c r="E275" s="647" t="s">
        <v>2531</v>
      </c>
      <c r="F275" s="647">
        <v>52732</v>
      </c>
      <c r="G275" s="647" t="s">
        <v>5116</v>
      </c>
      <c r="H275" s="647" t="s">
        <v>3994</v>
      </c>
      <c r="I275" s="647" t="s">
        <v>3937</v>
      </c>
      <c r="J275" s="647">
        <v>771935</v>
      </c>
      <c r="K275" s="647" t="s">
        <v>4044</v>
      </c>
      <c r="L275" s="647" t="s">
        <v>5117</v>
      </c>
      <c r="M275" s="647" t="s">
        <v>3826</v>
      </c>
      <c r="N275" s="648" t="e">
        <v>#N/A</v>
      </c>
    </row>
    <row r="276" spans="1:14" x14ac:dyDescent="0.35">
      <c r="A276" s="647">
        <v>2160</v>
      </c>
      <c r="B276" s="647" t="s">
        <v>5118</v>
      </c>
      <c r="C276" s="647" t="s">
        <v>5119</v>
      </c>
      <c r="D276" s="647" t="s">
        <v>2544</v>
      </c>
      <c r="E276" s="647" t="s">
        <v>2531</v>
      </c>
      <c r="F276" s="647">
        <v>23901</v>
      </c>
      <c r="G276" s="647" t="s">
        <v>5120</v>
      </c>
      <c r="H276" s="647" t="s">
        <v>3994</v>
      </c>
      <c r="I276" s="647" t="s">
        <v>4279</v>
      </c>
      <c r="J276" s="647">
        <v>488488</v>
      </c>
      <c r="K276" s="647" t="s">
        <v>5121</v>
      </c>
      <c r="L276" s="647" t="s">
        <v>5122</v>
      </c>
      <c r="M276" s="647" t="s">
        <v>4078</v>
      </c>
      <c r="N276" s="648" t="e">
        <v>#N/A</v>
      </c>
    </row>
    <row r="277" spans="1:14" x14ac:dyDescent="0.35">
      <c r="A277" s="647">
        <v>2161</v>
      </c>
      <c r="B277" s="647" t="s">
        <v>4894</v>
      </c>
      <c r="C277" s="647" t="s">
        <v>5123</v>
      </c>
      <c r="D277" s="647" t="s">
        <v>2545</v>
      </c>
      <c r="E277" s="647" t="s">
        <v>2531</v>
      </c>
      <c r="F277" s="647">
        <v>69363</v>
      </c>
      <c r="G277" s="647" t="s">
        <v>5124</v>
      </c>
      <c r="H277" s="647" t="s">
        <v>3994</v>
      </c>
      <c r="I277" s="647" t="s">
        <v>3925</v>
      </c>
      <c r="J277" s="647">
        <v>8796762</v>
      </c>
      <c r="K277" s="647" t="s">
        <v>4302</v>
      </c>
      <c r="L277" s="647" t="s">
        <v>5125</v>
      </c>
      <c r="M277" s="647" t="s">
        <v>3836</v>
      </c>
      <c r="N277" s="648">
        <v>40210</v>
      </c>
    </row>
    <row r="278" spans="1:14" x14ac:dyDescent="0.35">
      <c r="A278" s="647">
        <v>2165</v>
      </c>
      <c r="B278" s="647" t="s">
        <v>5126</v>
      </c>
      <c r="C278" s="647" t="s">
        <v>5127</v>
      </c>
      <c r="D278" s="647" t="s">
        <v>2547</v>
      </c>
      <c r="E278" s="647" t="s">
        <v>2531</v>
      </c>
      <c r="F278" s="647">
        <v>50309</v>
      </c>
      <c r="G278" s="647" t="s">
        <v>5128</v>
      </c>
      <c r="H278" s="647" t="s">
        <v>3994</v>
      </c>
      <c r="I278" s="647" t="s">
        <v>3925</v>
      </c>
      <c r="J278" s="647">
        <v>14941360</v>
      </c>
      <c r="K278" s="647" t="s">
        <v>5129</v>
      </c>
      <c r="L278" s="647" t="s">
        <v>5130</v>
      </c>
      <c r="M278" s="647" t="s">
        <v>3826</v>
      </c>
      <c r="N278" s="648">
        <v>40422</v>
      </c>
    </row>
    <row r="279" spans="1:14" x14ac:dyDescent="0.35">
      <c r="A279" s="647">
        <v>2175</v>
      </c>
      <c r="B279" s="647" t="s">
        <v>5131</v>
      </c>
      <c r="C279" s="647" t="s">
        <v>5132</v>
      </c>
      <c r="D279" s="647" t="s">
        <v>2549</v>
      </c>
      <c r="E279" s="647" t="s">
        <v>2531</v>
      </c>
      <c r="F279" s="647" t="s">
        <v>5133</v>
      </c>
      <c r="G279" s="647" t="s">
        <v>5134</v>
      </c>
      <c r="H279" s="647" t="s">
        <v>3931</v>
      </c>
      <c r="I279" s="647" t="s">
        <v>3925</v>
      </c>
      <c r="J279" s="647">
        <v>821782</v>
      </c>
      <c r="K279" s="647" t="s">
        <v>5033</v>
      </c>
      <c r="L279" s="647" t="s">
        <v>5135</v>
      </c>
      <c r="M279" s="647" t="s">
        <v>4078</v>
      </c>
      <c r="N279" s="648">
        <v>40360</v>
      </c>
    </row>
    <row r="280" spans="1:14" x14ac:dyDescent="0.35">
      <c r="A280" s="647">
        <v>2176</v>
      </c>
      <c r="B280" s="647" t="s">
        <v>5136</v>
      </c>
      <c r="C280" s="647" t="s">
        <v>5137</v>
      </c>
      <c r="D280" s="647" t="s">
        <v>2551</v>
      </c>
      <c r="E280" s="647" t="s">
        <v>2531</v>
      </c>
      <c r="F280" s="647">
        <v>52162</v>
      </c>
      <c r="G280" s="647" t="s">
        <v>5138</v>
      </c>
      <c r="H280" s="647" t="s">
        <v>3994</v>
      </c>
      <c r="I280" s="647" t="s">
        <v>3925</v>
      </c>
      <c r="J280" s="647">
        <v>139762</v>
      </c>
      <c r="K280" s="647" t="s">
        <v>4052</v>
      </c>
      <c r="L280" s="647" t="s">
        <v>5139</v>
      </c>
      <c r="M280" s="647" t="s">
        <v>4078</v>
      </c>
      <c r="N280" s="648" t="e">
        <v>#N/A</v>
      </c>
    </row>
    <row r="281" spans="1:14" x14ac:dyDescent="0.35">
      <c r="A281" s="647">
        <v>2177</v>
      </c>
      <c r="B281" s="647" t="s">
        <v>5140</v>
      </c>
      <c r="C281" s="647" t="s">
        <v>5141</v>
      </c>
      <c r="D281" s="647" t="s">
        <v>2553</v>
      </c>
      <c r="E281" s="647" t="s">
        <v>2531</v>
      </c>
      <c r="F281" s="647">
        <v>52001</v>
      </c>
      <c r="G281" s="647" t="s">
        <v>5142</v>
      </c>
      <c r="H281" s="649"/>
      <c r="I281" s="649"/>
      <c r="J281" s="647">
        <v>1341645</v>
      </c>
      <c r="K281" s="647" t="s">
        <v>5143</v>
      </c>
      <c r="L281" s="647" t="s">
        <v>5144</v>
      </c>
      <c r="M281" s="647" t="s">
        <v>3826</v>
      </c>
      <c r="N281" s="648" t="e">
        <v>#N/A</v>
      </c>
    </row>
    <row r="282" spans="1:14" x14ac:dyDescent="0.35">
      <c r="A282" s="647">
        <v>2181</v>
      </c>
      <c r="B282" s="647" t="s">
        <v>5145</v>
      </c>
      <c r="C282" s="647" t="s">
        <v>5146</v>
      </c>
      <c r="D282" s="647" t="s">
        <v>2555</v>
      </c>
      <c r="E282" s="647" t="s">
        <v>2531</v>
      </c>
      <c r="F282" s="647">
        <v>50501</v>
      </c>
      <c r="G282" s="647" t="s">
        <v>5147</v>
      </c>
      <c r="H282" s="649"/>
      <c r="I282" s="649"/>
      <c r="J282" s="647">
        <v>774020</v>
      </c>
      <c r="K282" s="647" t="s">
        <v>3926</v>
      </c>
      <c r="L282" s="647" t="s">
        <v>5148</v>
      </c>
      <c r="M282" s="647" t="s">
        <v>3826</v>
      </c>
      <c r="N282" s="648" t="e">
        <v>#N/A</v>
      </c>
    </row>
    <row r="283" spans="1:14" x14ac:dyDescent="0.35">
      <c r="A283" s="647">
        <v>2185</v>
      </c>
      <c r="B283" s="647" t="s">
        <v>5149</v>
      </c>
      <c r="C283" s="647" t="s">
        <v>5150</v>
      </c>
      <c r="D283" s="647" t="s">
        <v>2557</v>
      </c>
      <c r="E283" s="647" t="s">
        <v>2531</v>
      </c>
      <c r="F283" s="647">
        <v>52627</v>
      </c>
      <c r="G283" s="647" t="s">
        <v>5151</v>
      </c>
      <c r="H283" s="647" t="s">
        <v>3994</v>
      </c>
      <c r="I283" s="647" t="s">
        <v>4502</v>
      </c>
      <c r="J283" s="647">
        <v>405719</v>
      </c>
      <c r="K283" s="647" t="s">
        <v>4793</v>
      </c>
      <c r="L283" s="647" t="s">
        <v>5152</v>
      </c>
      <c r="M283" s="647" t="s">
        <v>4078</v>
      </c>
      <c r="N283" s="648" t="e">
        <v>#N/A</v>
      </c>
    </row>
    <row r="284" spans="1:14" x14ac:dyDescent="0.35">
      <c r="A284" s="647">
        <v>2193</v>
      </c>
      <c r="B284" s="647" t="s">
        <v>5153</v>
      </c>
      <c r="C284" s="647" t="s">
        <v>5154</v>
      </c>
      <c r="D284" s="647" t="s">
        <v>2559</v>
      </c>
      <c r="E284" s="647" t="s">
        <v>2531</v>
      </c>
      <c r="F284" s="647">
        <v>52632</v>
      </c>
      <c r="G284" s="647" t="s">
        <v>5155</v>
      </c>
      <c r="H284" s="647" t="s">
        <v>3994</v>
      </c>
      <c r="I284" s="647" t="s">
        <v>3925</v>
      </c>
      <c r="J284" s="647">
        <v>454637</v>
      </c>
      <c r="K284" s="647" t="s">
        <v>4429</v>
      </c>
      <c r="L284" s="647" t="s">
        <v>5156</v>
      </c>
      <c r="M284" s="647" t="s">
        <v>3826</v>
      </c>
      <c r="N284" s="648" t="e">
        <v>#N/A</v>
      </c>
    </row>
    <row r="285" spans="1:14" x14ac:dyDescent="0.35">
      <c r="A285" s="647">
        <v>2195</v>
      </c>
      <c r="B285" s="647" t="s">
        <v>5157</v>
      </c>
      <c r="C285" s="647" t="s">
        <v>5158</v>
      </c>
      <c r="D285" s="647" t="s">
        <v>2561</v>
      </c>
      <c r="E285" s="647" t="s">
        <v>2531</v>
      </c>
      <c r="F285" s="647">
        <v>51031</v>
      </c>
      <c r="G285" s="647" t="s">
        <v>5159</v>
      </c>
      <c r="H285" s="649"/>
      <c r="I285" s="649"/>
      <c r="J285" s="647">
        <v>547505</v>
      </c>
      <c r="K285" s="647" t="s">
        <v>5160</v>
      </c>
      <c r="L285" s="647" t="s">
        <v>3254</v>
      </c>
      <c r="M285" s="647" t="s">
        <v>3826</v>
      </c>
      <c r="N285" s="648" t="e">
        <v>#N/A</v>
      </c>
    </row>
    <row r="286" spans="1:14" x14ac:dyDescent="0.35">
      <c r="A286" s="647">
        <v>2197</v>
      </c>
      <c r="B286" s="647" t="s">
        <v>5161</v>
      </c>
      <c r="C286" s="647" t="s">
        <v>5162</v>
      </c>
      <c r="D286" s="647" t="s">
        <v>2563</v>
      </c>
      <c r="E286" s="647" t="s">
        <v>2531</v>
      </c>
      <c r="F286" s="647">
        <v>50158</v>
      </c>
      <c r="G286" s="647" t="s">
        <v>5163</v>
      </c>
      <c r="H286" s="647" t="s">
        <v>3994</v>
      </c>
      <c r="I286" s="647" t="s">
        <v>3925</v>
      </c>
      <c r="J286" s="647">
        <v>1899551</v>
      </c>
      <c r="K286" s="647" t="s">
        <v>5164</v>
      </c>
      <c r="L286" s="647" t="s">
        <v>5165</v>
      </c>
      <c r="M286" s="647" t="s">
        <v>3826</v>
      </c>
      <c r="N286" s="648">
        <v>40179</v>
      </c>
    </row>
    <row r="287" spans="1:14" x14ac:dyDescent="0.35">
      <c r="A287" s="647">
        <v>2201</v>
      </c>
      <c r="B287" s="647" t="s">
        <v>5166</v>
      </c>
      <c r="C287" s="647" t="s">
        <v>5167</v>
      </c>
      <c r="D287" s="647" t="s">
        <v>2565</v>
      </c>
      <c r="E287" s="647" t="s">
        <v>2531</v>
      </c>
      <c r="F287" s="647">
        <v>50401</v>
      </c>
      <c r="G287" s="647" t="s">
        <v>5168</v>
      </c>
      <c r="H287" s="647" t="s">
        <v>3994</v>
      </c>
      <c r="I287" s="647" t="s">
        <v>3925</v>
      </c>
      <c r="J287" s="647">
        <v>1407069</v>
      </c>
      <c r="K287" s="647" t="s">
        <v>2979</v>
      </c>
      <c r="L287" s="647" t="s">
        <v>5169</v>
      </c>
      <c r="M287" s="647" t="s">
        <v>4078</v>
      </c>
      <c r="N287" s="648" t="e">
        <v>#N/A</v>
      </c>
    </row>
    <row r="288" spans="1:14" x14ac:dyDescent="0.35">
      <c r="A288" s="647">
        <v>2205</v>
      </c>
      <c r="B288" s="647" t="s">
        <v>5170</v>
      </c>
      <c r="C288" s="647" t="s">
        <v>5171</v>
      </c>
      <c r="D288" s="647" t="s">
        <v>2567</v>
      </c>
      <c r="E288" s="647" t="s">
        <v>2531</v>
      </c>
      <c r="F288" s="647">
        <v>52761</v>
      </c>
      <c r="G288" s="647" t="s">
        <v>5172</v>
      </c>
      <c r="H288" s="649"/>
      <c r="I288" s="649"/>
      <c r="J288" s="647">
        <v>2230852</v>
      </c>
      <c r="K288" s="647" t="s">
        <v>5173</v>
      </c>
      <c r="L288" s="647" t="s">
        <v>5174</v>
      </c>
      <c r="M288" s="647" t="s">
        <v>4078</v>
      </c>
      <c r="N288" s="648" t="e">
        <v>#N/A</v>
      </c>
    </row>
    <row r="289" spans="1:14" x14ac:dyDescent="0.35">
      <c r="A289" s="647">
        <v>2209</v>
      </c>
      <c r="B289" s="647" t="s">
        <v>5175</v>
      </c>
      <c r="C289" s="647" t="s">
        <v>5176</v>
      </c>
      <c r="D289" s="647" t="s">
        <v>2569</v>
      </c>
      <c r="E289" s="647" t="s">
        <v>2531</v>
      </c>
      <c r="F289" s="647">
        <v>50208</v>
      </c>
      <c r="G289" s="647" t="s">
        <v>5177</v>
      </c>
      <c r="H289" s="649"/>
      <c r="I289" s="649"/>
      <c r="J289" s="647">
        <v>1594629</v>
      </c>
      <c r="K289" s="647" t="s">
        <v>4488</v>
      </c>
      <c r="L289" s="647" t="s">
        <v>5178</v>
      </c>
      <c r="M289" s="647" t="s">
        <v>3826</v>
      </c>
      <c r="N289" s="648" t="e">
        <v>#N/A</v>
      </c>
    </row>
    <row r="290" spans="1:14" x14ac:dyDescent="0.35">
      <c r="A290" s="647">
        <v>2213</v>
      </c>
      <c r="B290" s="647" t="s">
        <v>5179</v>
      </c>
      <c r="C290" s="647" t="s">
        <v>5180</v>
      </c>
      <c r="D290" s="647" t="s">
        <v>2571</v>
      </c>
      <c r="E290" s="647" t="s">
        <v>2531</v>
      </c>
      <c r="F290" s="647">
        <v>52577</v>
      </c>
      <c r="G290" s="647" t="s">
        <v>5181</v>
      </c>
      <c r="H290" s="649"/>
      <c r="I290" s="649"/>
      <c r="J290" s="647">
        <v>991469</v>
      </c>
      <c r="K290" s="647" t="s">
        <v>5182</v>
      </c>
      <c r="L290" s="647" t="s">
        <v>3897</v>
      </c>
      <c r="M290" s="647" t="s">
        <v>4078</v>
      </c>
      <c r="N290" s="648" t="e">
        <v>#N/A</v>
      </c>
    </row>
    <row r="291" spans="1:14" x14ac:dyDescent="0.35">
      <c r="A291" s="647">
        <v>2217</v>
      </c>
      <c r="B291" s="647" t="s">
        <v>5183</v>
      </c>
      <c r="C291" s="647" t="s">
        <v>5184</v>
      </c>
      <c r="D291" s="647" t="s">
        <v>2573</v>
      </c>
      <c r="E291" s="647" t="s">
        <v>2531</v>
      </c>
      <c r="F291" s="647">
        <v>52501</v>
      </c>
      <c r="G291" s="647" t="s">
        <v>5185</v>
      </c>
      <c r="H291" s="649"/>
      <c r="I291" s="649"/>
      <c r="J291" s="647">
        <v>1677261</v>
      </c>
      <c r="K291" s="647" t="s">
        <v>4488</v>
      </c>
      <c r="L291" s="647" t="s">
        <v>5186</v>
      </c>
      <c r="M291" s="647" t="s">
        <v>3826</v>
      </c>
      <c r="N291" s="648" t="e">
        <v>#N/A</v>
      </c>
    </row>
    <row r="292" spans="1:14" x14ac:dyDescent="0.35">
      <c r="A292" s="647">
        <v>2218</v>
      </c>
      <c r="B292" s="647" t="s">
        <v>5187</v>
      </c>
      <c r="C292" s="647" t="s">
        <v>5188</v>
      </c>
      <c r="D292" s="647" t="s">
        <v>2575</v>
      </c>
      <c r="E292" s="647" t="s">
        <v>2531</v>
      </c>
      <c r="F292" s="647">
        <v>51566</v>
      </c>
      <c r="G292" s="647" t="s">
        <v>5189</v>
      </c>
      <c r="H292" s="647" t="s">
        <v>3994</v>
      </c>
      <c r="I292" s="647" t="s">
        <v>3925</v>
      </c>
      <c r="J292" s="647">
        <v>666266</v>
      </c>
      <c r="K292" s="647" t="s">
        <v>5190</v>
      </c>
      <c r="L292" s="647" t="s">
        <v>5191</v>
      </c>
      <c r="M292" s="647" t="s">
        <v>3826</v>
      </c>
      <c r="N292" s="648">
        <v>40302</v>
      </c>
    </row>
    <row r="293" spans="1:14" x14ac:dyDescent="0.35">
      <c r="A293" s="647">
        <v>2221</v>
      </c>
      <c r="B293" s="647" t="s">
        <v>5192</v>
      </c>
      <c r="C293" s="647" t="s">
        <v>5193</v>
      </c>
      <c r="D293" s="647" t="s">
        <v>2577</v>
      </c>
      <c r="E293" s="647" t="s">
        <v>2578</v>
      </c>
      <c r="F293" s="647">
        <v>68776</v>
      </c>
      <c r="G293" s="647" t="s">
        <v>5194</v>
      </c>
      <c r="H293" s="647" t="s">
        <v>3931</v>
      </c>
      <c r="I293" s="647" t="s">
        <v>3925</v>
      </c>
      <c r="J293" s="647">
        <v>1961903</v>
      </c>
      <c r="K293" s="647" t="s">
        <v>4280</v>
      </c>
      <c r="L293" s="647" t="s">
        <v>5195</v>
      </c>
      <c r="M293" s="647" t="s">
        <v>3826</v>
      </c>
      <c r="N293" s="648">
        <v>40167</v>
      </c>
    </row>
    <row r="294" spans="1:14" x14ac:dyDescent="0.35">
      <c r="A294" s="647">
        <v>2225</v>
      </c>
      <c r="B294" s="647" t="s">
        <v>5196</v>
      </c>
      <c r="C294" s="647" t="s">
        <v>5197</v>
      </c>
      <c r="D294" s="647" t="s">
        <v>2465</v>
      </c>
      <c r="E294" s="647" t="s">
        <v>2531</v>
      </c>
      <c r="F294" s="647">
        <v>51301</v>
      </c>
      <c r="G294" s="647" t="s">
        <v>5198</v>
      </c>
      <c r="H294" s="647" t="s">
        <v>3931</v>
      </c>
      <c r="I294" s="647" t="s">
        <v>3925</v>
      </c>
      <c r="J294" s="647">
        <v>1083479</v>
      </c>
      <c r="K294" s="647" t="s">
        <v>5199</v>
      </c>
      <c r="L294" s="647" t="s">
        <v>5200</v>
      </c>
      <c r="M294" s="647" t="s">
        <v>3826</v>
      </c>
      <c r="N294" s="648">
        <v>40179</v>
      </c>
    </row>
    <row r="295" spans="1:14" x14ac:dyDescent="0.35">
      <c r="A295" s="647">
        <v>2227</v>
      </c>
      <c r="B295" s="647" t="s">
        <v>5201</v>
      </c>
      <c r="C295" s="647" t="s">
        <v>5202</v>
      </c>
      <c r="D295" s="647" t="s">
        <v>5203</v>
      </c>
      <c r="E295" s="647" t="s">
        <v>2531</v>
      </c>
      <c r="F295" s="647">
        <v>51360</v>
      </c>
      <c r="G295" s="647" t="s">
        <v>5204</v>
      </c>
      <c r="H295" s="647" t="s">
        <v>3931</v>
      </c>
      <c r="I295" s="647" t="s">
        <v>3925</v>
      </c>
      <c r="J295" s="647"/>
      <c r="K295" s="647" t="s">
        <v>5205</v>
      </c>
      <c r="L295" s="647" t="s">
        <v>5206</v>
      </c>
      <c r="M295" s="647" t="s">
        <v>3826</v>
      </c>
      <c r="N295" s="648">
        <v>40252</v>
      </c>
    </row>
    <row r="296" spans="1:14" x14ac:dyDescent="0.35">
      <c r="A296" s="647">
        <v>2229</v>
      </c>
      <c r="B296" s="647" t="s">
        <v>5207</v>
      </c>
      <c r="C296" s="647" t="s">
        <v>5208</v>
      </c>
      <c r="D296" s="647" t="s">
        <v>2227</v>
      </c>
      <c r="E296" s="647" t="s">
        <v>2531</v>
      </c>
      <c r="F296" s="647">
        <v>52353</v>
      </c>
      <c r="G296" s="647" t="s">
        <v>5209</v>
      </c>
      <c r="H296" s="649"/>
      <c r="I296" s="649"/>
      <c r="J296" s="647">
        <v>1184380</v>
      </c>
      <c r="K296" s="647" t="s">
        <v>3926</v>
      </c>
      <c r="L296" s="647" t="s">
        <v>5210</v>
      </c>
      <c r="M296" s="647" t="s">
        <v>4078</v>
      </c>
      <c r="N296" s="648" t="e">
        <v>#N/A</v>
      </c>
    </row>
    <row r="297" spans="1:14" x14ac:dyDescent="0.35">
      <c r="A297" s="647">
        <v>2233</v>
      </c>
      <c r="B297" s="647" t="s">
        <v>5211</v>
      </c>
      <c r="C297" s="647" t="s">
        <v>5212</v>
      </c>
      <c r="D297" s="647" t="s">
        <v>2582</v>
      </c>
      <c r="E297" s="647" t="s">
        <v>2531</v>
      </c>
      <c r="F297" s="647">
        <v>50701</v>
      </c>
      <c r="G297" s="647" t="s">
        <v>5213</v>
      </c>
      <c r="H297" s="649"/>
      <c r="I297" s="649"/>
      <c r="J297" s="647">
        <v>1634392</v>
      </c>
      <c r="K297" s="647" t="s">
        <v>4007</v>
      </c>
      <c r="L297" s="647" t="s">
        <v>4676</v>
      </c>
      <c r="M297" s="647" t="s">
        <v>3826</v>
      </c>
      <c r="N297" s="648" t="e">
        <v>#N/A</v>
      </c>
    </row>
    <row r="298" spans="1:14" x14ac:dyDescent="0.35">
      <c r="A298" s="647">
        <v>2245</v>
      </c>
      <c r="B298" s="647" t="s">
        <v>5214</v>
      </c>
      <c r="C298" s="647" t="s">
        <v>5215</v>
      </c>
      <c r="D298" s="647" t="s">
        <v>2584</v>
      </c>
      <c r="E298" s="647" t="s">
        <v>2585</v>
      </c>
      <c r="F298" s="647">
        <v>66002</v>
      </c>
      <c r="G298" s="647" t="s">
        <v>5216</v>
      </c>
      <c r="H298" s="647" t="s">
        <v>3994</v>
      </c>
      <c r="I298" s="647" t="s">
        <v>3995</v>
      </c>
      <c r="J298" s="647">
        <v>872984</v>
      </c>
      <c r="K298" s="647" t="s">
        <v>4044</v>
      </c>
      <c r="L298" s="647" t="s">
        <v>5217</v>
      </c>
      <c r="M298" s="647" t="s">
        <v>4025</v>
      </c>
      <c r="N298" s="648">
        <v>40391</v>
      </c>
    </row>
    <row r="299" spans="1:14" x14ac:dyDescent="0.35">
      <c r="A299" s="647">
        <v>2258</v>
      </c>
      <c r="B299" s="647" t="s">
        <v>5218</v>
      </c>
      <c r="C299" s="647" t="s">
        <v>5219</v>
      </c>
      <c r="D299" s="647" t="s">
        <v>2587</v>
      </c>
      <c r="E299" s="647" t="s">
        <v>2585</v>
      </c>
      <c r="F299" s="647">
        <v>66850</v>
      </c>
      <c r="G299" s="647" t="s">
        <v>5220</v>
      </c>
      <c r="H299" s="647" t="s">
        <v>3931</v>
      </c>
      <c r="I299" s="647" t="s">
        <v>4111</v>
      </c>
      <c r="J299" s="647">
        <v>942829</v>
      </c>
      <c r="K299" s="647" t="s">
        <v>4088</v>
      </c>
      <c r="L299" s="647" t="s">
        <v>5221</v>
      </c>
      <c r="M299" s="647" t="s">
        <v>3826</v>
      </c>
      <c r="N299" s="648">
        <v>40360</v>
      </c>
    </row>
    <row r="300" spans="1:14" x14ac:dyDescent="0.35">
      <c r="A300" s="647">
        <v>2261</v>
      </c>
      <c r="B300" s="647" t="s">
        <v>5222</v>
      </c>
      <c r="C300" s="647" t="s">
        <v>5223</v>
      </c>
      <c r="D300" s="647" t="s">
        <v>2589</v>
      </c>
      <c r="E300" s="647" t="s">
        <v>2585</v>
      </c>
      <c r="F300" s="647">
        <v>67846</v>
      </c>
      <c r="G300" s="647" t="s">
        <v>5224</v>
      </c>
      <c r="H300" s="649"/>
      <c r="I300" s="649"/>
      <c r="J300" s="647">
        <v>1075478</v>
      </c>
      <c r="K300" s="647" t="s">
        <v>4879</v>
      </c>
      <c r="L300" s="647" t="s">
        <v>5225</v>
      </c>
      <c r="M300" s="647" t="s">
        <v>4078</v>
      </c>
      <c r="N300" s="648" t="e">
        <v>#N/A</v>
      </c>
    </row>
    <row r="301" spans="1:14" x14ac:dyDescent="0.35">
      <c r="A301" s="647">
        <v>2262</v>
      </c>
      <c r="B301" s="647" t="s">
        <v>5226</v>
      </c>
      <c r="C301" s="647" t="s">
        <v>5227</v>
      </c>
      <c r="D301" s="647" t="s">
        <v>2591</v>
      </c>
      <c r="E301" s="647" t="s">
        <v>2585</v>
      </c>
      <c r="F301" s="647">
        <v>67501</v>
      </c>
      <c r="G301" s="647" t="s">
        <v>5228</v>
      </c>
      <c r="H301" s="649"/>
      <c r="I301" s="649"/>
      <c r="J301" s="647">
        <v>1413485</v>
      </c>
      <c r="K301" s="647" t="s">
        <v>5074</v>
      </c>
      <c r="L301" s="647" t="s">
        <v>5229</v>
      </c>
      <c r="M301" s="647" t="s">
        <v>3826</v>
      </c>
      <c r="N301" s="648" t="e">
        <v>#N/A</v>
      </c>
    </row>
    <row r="302" spans="1:14" x14ac:dyDescent="0.35">
      <c r="A302" s="647">
        <v>2267</v>
      </c>
      <c r="B302" s="647" t="s">
        <v>5230</v>
      </c>
      <c r="C302" s="647" t="s">
        <v>4977</v>
      </c>
      <c r="D302" s="647" t="s">
        <v>2593</v>
      </c>
      <c r="E302" s="647" t="s">
        <v>2585</v>
      </c>
      <c r="F302" s="647">
        <v>66441</v>
      </c>
      <c r="G302" s="647" t="s">
        <v>5231</v>
      </c>
      <c r="H302" s="649"/>
      <c r="I302" s="649"/>
      <c r="J302" s="647">
        <v>671621</v>
      </c>
      <c r="K302" s="647" t="s">
        <v>3961</v>
      </c>
      <c r="L302" s="647" t="s">
        <v>5232</v>
      </c>
      <c r="M302" s="647" t="s">
        <v>3826</v>
      </c>
      <c r="N302" s="648" t="e">
        <v>#N/A</v>
      </c>
    </row>
    <row r="303" spans="1:14" x14ac:dyDescent="0.35">
      <c r="A303" s="647">
        <v>2283</v>
      </c>
      <c r="B303" s="647" t="s">
        <v>5233</v>
      </c>
      <c r="C303" s="647" t="s">
        <v>5234</v>
      </c>
      <c r="D303" s="647" t="s">
        <v>2595</v>
      </c>
      <c r="E303" s="647" t="s">
        <v>2585</v>
      </c>
      <c r="F303" s="647">
        <v>67460</v>
      </c>
      <c r="G303" s="647" t="s">
        <v>5235</v>
      </c>
      <c r="H303" s="647" t="s">
        <v>3931</v>
      </c>
      <c r="I303" s="647" t="s">
        <v>4083</v>
      </c>
      <c r="J303" s="647">
        <v>770983</v>
      </c>
      <c r="K303" s="647" t="s">
        <v>5236</v>
      </c>
      <c r="L303" s="647" t="s">
        <v>5237</v>
      </c>
      <c r="M303" s="647" t="s">
        <v>4078</v>
      </c>
      <c r="N303" s="648">
        <v>40179</v>
      </c>
    </row>
    <row r="304" spans="1:14" x14ac:dyDescent="0.35">
      <c r="A304" s="647">
        <v>2295</v>
      </c>
      <c r="B304" s="647" t="s">
        <v>5238</v>
      </c>
      <c r="C304" s="647" t="s">
        <v>5239</v>
      </c>
      <c r="D304" s="647" t="s">
        <v>2597</v>
      </c>
      <c r="E304" s="647" t="s">
        <v>2585</v>
      </c>
      <c r="F304" s="647">
        <v>66762</v>
      </c>
      <c r="G304" s="647" t="s">
        <v>5240</v>
      </c>
      <c r="H304" s="649"/>
      <c r="I304" s="649"/>
      <c r="J304" s="647">
        <v>1261328</v>
      </c>
      <c r="K304" s="647" t="s">
        <v>5241</v>
      </c>
      <c r="L304" s="647" t="s">
        <v>5242</v>
      </c>
      <c r="M304" s="647" t="s">
        <v>3826</v>
      </c>
      <c r="N304" s="648" t="e">
        <v>#N/A</v>
      </c>
    </row>
    <row r="305" spans="1:14" x14ac:dyDescent="0.35">
      <c r="A305" s="647">
        <v>2299</v>
      </c>
      <c r="B305" s="647" t="s">
        <v>5243</v>
      </c>
      <c r="C305" s="647" t="s">
        <v>5244</v>
      </c>
      <c r="D305" s="647" t="s">
        <v>2599</v>
      </c>
      <c r="E305" s="647" t="s">
        <v>2585</v>
      </c>
      <c r="F305" s="647">
        <v>67401</v>
      </c>
      <c r="G305" s="647" t="s">
        <v>5245</v>
      </c>
      <c r="H305" s="647" t="s">
        <v>3931</v>
      </c>
      <c r="I305" s="647" t="s">
        <v>3995</v>
      </c>
      <c r="J305" s="647">
        <v>2497748</v>
      </c>
      <c r="K305" s="647" t="s">
        <v>4176</v>
      </c>
      <c r="L305" s="647" t="s">
        <v>5246</v>
      </c>
      <c r="M305" s="647" t="s">
        <v>3826</v>
      </c>
      <c r="N305" s="648">
        <v>40174</v>
      </c>
    </row>
    <row r="306" spans="1:14" x14ac:dyDescent="0.35">
      <c r="A306" s="647">
        <v>2303</v>
      </c>
      <c r="B306" s="647" t="s">
        <v>5247</v>
      </c>
      <c r="C306" s="647" t="s">
        <v>5248</v>
      </c>
      <c r="D306" s="647" t="s">
        <v>2601</v>
      </c>
      <c r="E306" s="647" t="s">
        <v>2585</v>
      </c>
      <c r="F306" s="647" t="s">
        <v>5249</v>
      </c>
      <c r="G306" s="647" t="s">
        <v>5250</v>
      </c>
      <c r="H306" s="647" t="s">
        <v>3994</v>
      </c>
      <c r="I306" s="647" t="s">
        <v>3995</v>
      </c>
      <c r="J306" s="647">
        <v>4352319</v>
      </c>
      <c r="K306" s="647" t="s">
        <v>5251</v>
      </c>
      <c r="L306" s="647" t="s">
        <v>5252</v>
      </c>
      <c r="M306" s="647" t="s">
        <v>3826</v>
      </c>
      <c r="N306" s="648" t="e">
        <v>#N/A</v>
      </c>
    </row>
    <row r="307" spans="1:14" x14ac:dyDescent="0.35">
      <c r="A307" s="647">
        <v>2310</v>
      </c>
      <c r="B307" s="647" t="s">
        <v>5253</v>
      </c>
      <c r="C307" s="647" t="s">
        <v>5254</v>
      </c>
      <c r="D307" s="647" t="s">
        <v>5255</v>
      </c>
      <c r="E307" s="647" t="s">
        <v>3551</v>
      </c>
      <c r="F307" s="647">
        <v>57623</v>
      </c>
      <c r="G307" s="647" t="s">
        <v>5256</v>
      </c>
      <c r="H307" s="647" t="s">
        <v>3994</v>
      </c>
      <c r="I307" s="647" t="s">
        <v>5257</v>
      </c>
      <c r="J307" s="647"/>
      <c r="K307" s="647" t="s">
        <v>4052</v>
      </c>
      <c r="L307" s="647" t="s">
        <v>5258</v>
      </c>
      <c r="M307" s="647" t="s">
        <v>4078</v>
      </c>
      <c r="N307" s="648">
        <v>40178</v>
      </c>
    </row>
    <row r="308" spans="1:14" x14ac:dyDescent="0.35">
      <c r="A308" s="647">
        <v>2311</v>
      </c>
      <c r="B308" s="647" t="s">
        <v>5259</v>
      </c>
      <c r="C308" s="647" t="s">
        <v>5260</v>
      </c>
      <c r="D308" s="647" t="s">
        <v>2603</v>
      </c>
      <c r="E308" s="647" t="s">
        <v>2585</v>
      </c>
      <c r="F308" s="647">
        <v>67220</v>
      </c>
      <c r="G308" s="647" t="s">
        <v>5261</v>
      </c>
      <c r="H308" s="647" t="s">
        <v>3994</v>
      </c>
      <c r="I308" s="647" t="s">
        <v>3995</v>
      </c>
      <c r="J308" s="647">
        <v>31828579</v>
      </c>
      <c r="K308" s="647" t="s">
        <v>4645</v>
      </c>
      <c r="L308" s="647" t="s">
        <v>5262</v>
      </c>
      <c r="M308" s="647" t="s">
        <v>3826</v>
      </c>
      <c r="N308" s="648">
        <v>40179</v>
      </c>
    </row>
    <row r="309" spans="1:14" x14ac:dyDescent="0.35">
      <c r="A309" s="647">
        <v>2337</v>
      </c>
      <c r="B309" s="647" t="s">
        <v>5263</v>
      </c>
      <c r="C309" s="647" t="s">
        <v>5264</v>
      </c>
      <c r="D309" s="647" t="s">
        <v>2605</v>
      </c>
      <c r="E309" s="647" t="s">
        <v>2606</v>
      </c>
      <c r="F309" s="647">
        <v>41102</v>
      </c>
      <c r="G309" s="647" t="s">
        <v>5265</v>
      </c>
      <c r="H309" s="647" t="s">
        <v>3917</v>
      </c>
      <c r="I309" s="647" t="s">
        <v>4264</v>
      </c>
      <c r="J309" s="647">
        <v>2063734</v>
      </c>
      <c r="K309" s="647" t="s">
        <v>3840</v>
      </c>
      <c r="L309" s="647" t="s">
        <v>5266</v>
      </c>
      <c r="M309" s="647" t="s">
        <v>3826</v>
      </c>
      <c r="N309" s="648">
        <v>40374</v>
      </c>
    </row>
    <row r="310" spans="1:14" x14ac:dyDescent="0.35">
      <c r="A310" s="647">
        <v>2340</v>
      </c>
      <c r="B310" s="647" t="s">
        <v>5267</v>
      </c>
      <c r="C310" s="647" t="s">
        <v>5268</v>
      </c>
      <c r="D310" s="647" t="s">
        <v>2608</v>
      </c>
      <c r="E310" s="647" t="s">
        <v>2606</v>
      </c>
      <c r="F310" s="647">
        <v>42141</v>
      </c>
      <c r="G310" s="647" t="s">
        <v>5269</v>
      </c>
      <c r="H310" s="649"/>
      <c r="I310" s="649"/>
      <c r="J310" s="647">
        <v>952199</v>
      </c>
      <c r="K310" s="647" t="s">
        <v>4558</v>
      </c>
      <c r="L310" s="647" t="s">
        <v>5270</v>
      </c>
      <c r="M310" s="647" t="s">
        <v>3826</v>
      </c>
      <c r="N310" s="648" t="e">
        <v>#N/A</v>
      </c>
    </row>
    <row r="311" spans="1:14" x14ac:dyDescent="0.35">
      <c r="A311" s="647">
        <v>2357</v>
      </c>
      <c r="B311" s="647" t="s">
        <v>5271</v>
      </c>
      <c r="C311" s="647" t="s">
        <v>5272</v>
      </c>
      <c r="D311" s="647" t="s">
        <v>2448</v>
      </c>
      <c r="E311" s="647" t="s">
        <v>2606</v>
      </c>
      <c r="F311" s="647">
        <v>40601</v>
      </c>
      <c r="G311" s="647" t="s">
        <v>5273</v>
      </c>
      <c r="H311" s="647" t="s">
        <v>3917</v>
      </c>
      <c r="I311" s="647" t="s">
        <v>4264</v>
      </c>
      <c r="J311" s="647">
        <v>2263001</v>
      </c>
      <c r="K311" s="647" t="s">
        <v>4164</v>
      </c>
      <c r="L311" s="647" t="s">
        <v>4536</v>
      </c>
      <c r="M311" s="647" t="s">
        <v>3826</v>
      </c>
      <c r="N311" s="648">
        <v>40452</v>
      </c>
    </row>
    <row r="312" spans="1:14" x14ac:dyDescent="0.35">
      <c r="A312" s="647">
        <v>2361</v>
      </c>
      <c r="B312" s="647" t="s">
        <v>5274</v>
      </c>
      <c r="C312" s="647" t="s">
        <v>5275</v>
      </c>
      <c r="D312" s="647" t="s">
        <v>2611</v>
      </c>
      <c r="E312" s="647" t="s">
        <v>2606</v>
      </c>
      <c r="F312" s="647">
        <v>40507</v>
      </c>
      <c r="G312" s="647" t="s">
        <v>5276</v>
      </c>
      <c r="H312" s="647" t="s">
        <v>3917</v>
      </c>
      <c r="I312" s="647" t="s">
        <v>4279</v>
      </c>
      <c r="J312" s="647">
        <v>10251392</v>
      </c>
      <c r="K312" s="647" t="s">
        <v>5277</v>
      </c>
      <c r="L312" s="647" t="s">
        <v>5278</v>
      </c>
      <c r="M312" s="647" t="s">
        <v>3826</v>
      </c>
      <c r="N312" s="648">
        <v>40391</v>
      </c>
    </row>
    <row r="313" spans="1:14" x14ac:dyDescent="0.35">
      <c r="A313" s="647">
        <v>2369</v>
      </c>
      <c r="B313" s="647" t="s">
        <v>5279</v>
      </c>
      <c r="C313" s="647" t="s">
        <v>5280</v>
      </c>
      <c r="D313" s="647" t="s">
        <v>2400</v>
      </c>
      <c r="E313" s="647" t="s">
        <v>2606</v>
      </c>
      <c r="F313" s="647">
        <v>40361</v>
      </c>
      <c r="G313" s="647" t="s">
        <v>5281</v>
      </c>
      <c r="H313" s="647" t="s">
        <v>3917</v>
      </c>
      <c r="I313" s="647" t="s">
        <v>4264</v>
      </c>
      <c r="J313" s="647">
        <v>1248681</v>
      </c>
      <c r="K313" s="647" t="s">
        <v>5038</v>
      </c>
      <c r="L313" s="647" t="s">
        <v>5282</v>
      </c>
      <c r="M313" s="647" t="s">
        <v>3826</v>
      </c>
      <c r="N313" s="648">
        <v>40391</v>
      </c>
    </row>
    <row r="314" spans="1:14" x14ac:dyDescent="0.35">
      <c r="A314" s="647">
        <v>2374</v>
      </c>
      <c r="B314" s="647" t="s">
        <v>5283</v>
      </c>
      <c r="C314" s="647" t="s">
        <v>5284</v>
      </c>
      <c r="D314" s="647" t="s">
        <v>2526</v>
      </c>
      <c r="E314" s="647" t="s">
        <v>2606</v>
      </c>
      <c r="F314" s="647" t="s">
        <v>5285</v>
      </c>
      <c r="G314" s="647" t="s">
        <v>5286</v>
      </c>
      <c r="H314" s="647" t="s">
        <v>3917</v>
      </c>
      <c r="I314" s="647" t="s">
        <v>4279</v>
      </c>
      <c r="J314" s="647">
        <v>829137</v>
      </c>
      <c r="K314" s="647" t="s">
        <v>4052</v>
      </c>
      <c r="L314" s="647" t="s">
        <v>5287</v>
      </c>
      <c r="M314" s="647" t="s">
        <v>3826</v>
      </c>
      <c r="N314" s="648">
        <v>40179</v>
      </c>
    </row>
    <row r="315" spans="1:14" x14ac:dyDescent="0.35">
      <c r="A315" s="647">
        <v>2377</v>
      </c>
      <c r="B315" s="647" t="s">
        <v>5288</v>
      </c>
      <c r="C315" s="647" t="s">
        <v>5289</v>
      </c>
      <c r="D315" s="647" t="s">
        <v>2615</v>
      </c>
      <c r="E315" s="647" t="s">
        <v>2606</v>
      </c>
      <c r="F315" s="647">
        <v>42420</v>
      </c>
      <c r="G315" s="647" t="s">
        <v>5290</v>
      </c>
      <c r="H315" s="649"/>
      <c r="I315" s="649"/>
      <c r="J315" s="647">
        <v>1404341</v>
      </c>
      <c r="K315" s="647" t="s">
        <v>5291</v>
      </c>
      <c r="L315" s="647" t="s">
        <v>5292</v>
      </c>
      <c r="M315" s="647" t="s">
        <v>3826</v>
      </c>
      <c r="N315" s="648" t="e">
        <v>#N/A</v>
      </c>
    </row>
    <row r="316" spans="1:14" x14ac:dyDescent="0.35">
      <c r="A316" s="647">
        <v>2379</v>
      </c>
      <c r="B316" s="647" t="s">
        <v>5293</v>
      </c>
      <c r="C316" s="647" t="s">
        <v>5294</v>
      </c>
      <c r="D316" s="647" t="s">
        <v>2617</v>
      </c>
      <c r="E316" s="647" t="s">
        <v>2606</v>
      </c>
      <c r="F316" s="647">
        <v>41056</v>
      </c>
      <c r="G316" s="647" t="s">
        <v>5295</v>
      </c>
      <c r="H316" s="649"/>
      <c r="I316" s="649"/>
      <c r="J316" s="647">
        <v>1126363</v>
      </c>
      <c r="K316" s="647" t="s">
        <v>5296</v>
      </c>
      <c r="L316" s="647" t="s">
        <v>5297</v>
      </c>
      <c r="M316" s="647" t="s">
        <v>4078</v>
      </c>
      <c r="N316" s="648" t="e">
        <v>#N/A</v>
      </c>
    </row>
    <row r="317" spans="1:14" x14ac:dyDescent="0.35">
      <c r="A317" s="647">
        <v>2385</v>
      </c>
      <c r="B317" s="647" t="s">
        <v>5298</v>
      </c>
      <c r="C317" s="647" t="s">
        <v>5299</v>
      </c>
      <c r="D317" s="647" t="s">
        <v>2619</v>
      </c>
      <c r="E317" s="647" t="s">
        <v>2606</v>
      </c>
      <c r="F317" s="647">
        <v>40202</v>
      </c>
      <c r="G317" s="647" t="s">
        <v>5300</v>
      </c>
      <c r="H317" s="647" t="s">
        <v>3917</v>
      </c>
      <c r="I317" s="647" t="s">
        <v>4264</v>
      </c>
      <c r="J317" s="647">
        <v>35844662</v>
      </c>
      <c r="K317" s="647" t="s">
        <v>5301</v>
      </c>
      <c r="L317" s="647" t="s">
        <v>5302</v>
      </c>
      <c r="M317" s="647" t="s">
        <v>3826</v>
      </c>
      <c r="N317" s="648">
        <v>40360</v>
      </c>
    </row>
    <row r="318" spans="1:14" x14ac:dyDescent="0.35">
      <c r="A318" s="647">
        <v>2415</v>
      </c>
      <c r="B318" s="647" t="s">
        <v>5303</v>
      </c>
      <c r="C318" s="647" t="s">
        <v>5304</v>
      </c>
      <c r="D318" s="647" t="s">
        <v>2621</v>
      </c>
      <c r="E318" s="647" t="s">
        <v>2606</v>
      </c>
      <c r="F318" s="647">
        <v>42431</v>
      </c>
      <c r="G318" s="647" t="s">
        <v>5305</v>
      </c>
      <c r="H318" s="647" t="s">
        <v>3917</v>
      </c>
      <c r="I318" s="647" t="s">
        <v>4264</v>
      </c>
      <c r="J318" s="647">
        <v>1191215</v>
      </c>
      <c r="K318" s="647" t="s">
        <v>4940</v>
      </c>
      <c r="L318" s="647" t="s">
        <v>4504</v>
      </c>
      <c r="M318" s="647" t="s">
        <v>3826</v>
      </c>
      <c r="N318" s="648">
        <v>40293</v>
      </c>
    </row>
    <row r="319" spans="1:14" x14ac:dyDescent="0.35">
      <c r="A319" s="647">
        <v>2416</v>
      </c>
      <c r="B319" s="647" t="s">
        <v>5306</v>
      </c>
      <c r="C319" s="647" t="s">
        <v>5307</v>
      </c>
      <c r="D319" s="647" t="s">
        <v>2623</v>
      </c>
      <c r="E319" s="647" t="s">
        <v>2606</v>
      </c>
      <c r="F319" s="647" t="s">
        <v>5308</v>
      </c>
      <c r="G319" s="647" t="s">
        <v>5309</v>
      </c>
      <c r="H319" s="647" t="s">
        <v>3917</v>
      </c>
      <c r="I319" s="647" t="s">
        <v>4279</v>
      </c>
      <c r="J319" s="647">
        <v>1167096</v>
      </c>
      <c r="K319" s="647" t="s">
        <v>5310</v>
      </c>
      <c r="L319" s="647" t="s">
        <v>5311</v>
      </c>
      <c r="M319" s="647" t="s">
        <v>3826</v>
      </c>
      <c r="N319" s="648">
        <v>40269</v>
      </c>
    </row>
    <row r="320" spans="1:14" x14ac:dyDescent="0.35">
      <c r="A320" s="647">
        <v>2417</v>
      </c>
      <c r="B320" s="647" t="s">
        <v>5312</v>
      </c>
      <c r="C320" s="647" t="s">
        <v>5313</v>
      </c>
      <c r="D320" s="647" t="s">
        <v>2625</v>
      </c>
      <c r="E320" s="647" t="s">
        <v>2606</v>
      </c>
      <c r="F320" s="647">
        <v>42301</v>
      </c>
      <c r="G320" s="647" t="s">
        <v>5314</v>
      </c>
      <c r="H320" s="647" t="s">
        <v>5315</v>
      </c>
      <c r="I320" s="647" t="s">
        <v>3925</v>
      </c>
      <c r="J320" s="647">
        <v>1669894</v>
      </c>
      <c r="K320" s="647" t="s">
        <v>3945</v>
      </c>
      <c r="L320" s="647" t="s">
        <v>5316</v>
      </c>
      <c r="M320" s="647" t="s">
        <v>3826</v>
      </c>
      <c r="N320" s="648" t="e">
        <v>#N/A</v>
      </c>
    </row>
    <row r="321" spans="1:14" x14ac:dyDescent="0.35">
      <c r="A321" s="647">
        <v>2418</v>
      </c>
      <c r="B321" s="647" t="s">
        <v>5317</v>
      </c>
      <c r="C321" s="647" t="s">
        <v>5318</v>
      </c>
      <c r="D321" s="647" t="s">
        <v>2627</v>
      </c>
      <c r="E321" s="647" t="s">
        <v>2606</v>
      </c>
      <c r="F321" s="647" t="s">
        <v>5319</v>
      </c>
      <c r="G321" s="647" t="s">
        <v>5320</v>
      </c>
      <c r="H321" s="647" t="s">
        <v>5315</v>
      </c>
      <c r="I321" s="647" t="s">
        <v>3925</v>
      </c>
      <c r="J321" s="647">
        <v>184445</v>
      </c>
      <c r="K321" s="647" t="s">
        <v>5321</v>
      </c>
      <c r="L321" s="647" t="s">
        <v>5322</v>
      </c>
      <c r="M321" s="647" t="s">
        <v>3826</v>
      </c>
      <c r="N321" s="648" t="e">
        <v>#N/A</v>
      </c>
    </row>
    <row r="322" spans="1:14" x14ac:dyDescent="0.35">
      <c r="A322" s="647">
        <v>2419</v>
      </c>
      <c r="B322" s="647" t="s">
        <v>5323</v>
      </c>
      <c r="C322" s="647" t="s">
        <v>5324</v>
      </c>
      <c r="D322" s="647" t="s">
        <v>2629</v>
      </c>
      <c r="E322" s="647" t="s">
        <v>2606</v>
      </c>
      <c r="F322" s="647">
        <v>42240</v>
      </c>
      <c r="G322" s="647" t="s">
        <v>5325</v>
      </c>
      <c r="H322" s="647" t="s">
        <v>5315</v>
      </c>
      <c r="I322" s="647" t="s">
        <v>4264</v>
      </c>
      <c r="J322" s="647">
        <v>1537334</v>
      </c>
      <c r="K322" s="647" t="s">
        <v>3978</v>
      </c>
      <c r="L322" s="647" t="s">
        <v>5326</v>
      </c>
      <c r="M322" s="647" t="s">
        <v>3826</v>
      </c>
      <c r="N322" s="648" t="e">
        <v>#N/A</v>
      </c>
    </row>
    <row r="323" spans="1:14" x14ac:dyDescent="0.35">
      <c r="A323" s="647">
        <v>2425</v>
      </c>
      <c r="B323" s="647" t="s">
        <v>5327</v>
      </c>
      <c r="C323" s="647" t="s">
        <v>5328</v>
      </c>
      <c r="D323" s="647" t="s">
        <v>2631</v>
      </c>
      <c r="E323" s="647" t="s">
        <v>2606</v>
      </c>
      <c r="F323" s="647">
        <v>42503</v>
      </c>
      <c r="G323" s="647" t="s">
        <v>5329</v>
      </c>
      <c r="H323" s="647" t="s">
        <v>3917</v>
      </c>
      <c r="I323" s="647" t="s">
        <v>4264</v>
      </c>
      <c r="J323" s="647">
        <v>920900</v>
      </c>
      <c r="K323" s="647" t="s">
        <v>4164</v>
      </c>
      <c r="L323" s="647" t="s">
        <v>5330</v>
      </c>
      <c r="M323" s="647" t="s">
        <v>3826</v>
      </c>
      <c r="N323" s="648">
        <v>40238</v>
      </c>
    </row>
    <row r="324" spans="1:14" x14ac:dyDescent="0.35">
      <c r="A324" s="647">
        <v>2426</v>
      </c>
      <c r="B324" s="647" t="s">
        <v>5331</v>
      </c>
      <c r="C324" s="647" t="s">
        <v>5332</v>
      </c>
      <c r="D324" s="647" t="s">
        <v>2524</v>
      </c>
      <c r="E324" s="647" t="s">
        <v>2606</v>
      </c>
      <c r="F324" s="647" t="s">
        <v>5333</v>
      </c>
      <c r="G324" s="647" t="s">
        <v>5334</v>
      </c>
      <c r="H324" s="647" t="s">
        <v>3917</v>
      </c>
      <c r="I324" s="647" t="s">
        <v>4264</v>
      </c>
      <c r="J324" s="647">
        <v>1332729</v>
      </c>
      <c r="K324" s="647" t="s">
        <v>5335</v>
      </c>
      <c r="L324" s="647" t="s">
        <v>5336</v>
      </c>
      <c r="M324" s="647" t="s">
        <v>3826</v>
      </c>
      <c r="N324" s="648">
        <v>40268</v>
      </c>
    </row>
    <row r="325" spans="1:14" x14ac:dyDescent="0.35">
      <c r="A325" s="647">
        <v>2428</v>
      </c>
      <c r="B325" s="647" t="s">
        <v>5337</v>
      </c>
      <c r="C325" s="647" t="s">
        <v>5338</v>
      </c>
      <c r="D325" s="647" t="s">
        <v>2634</v>
      </c>
      <c r="E325" s="647" t="s">
        <v>2606</v>
      </c>
      <c r="F325" s="647">
        <v>42066</v>
      </c>
      <c r="G325" s="647" t="s">
        <v>5339</v>
      </c>
      <c r="H325" s="647" t="s">
        <v>3917</v>
      </c>
      <c r="I325" s="647" t="s">
        <v>4279</v>
      </c>
      <c r="J325" s="647">
        <v>564852</v>
      </c>
      <c r="K325" s="647" t="s">
        <v>5340</v>
      </c>
      <c r="L325" s="647" t="s">
        <v>5341</v>
      </c>
      <c r="M325" s="647" t="s">
        <v>3826</v>
      </c>
      <c r="N325" s="648">
        <v>40511</v>
      </c>
    </row>
    <row r="326" spans="1:14" x14ac:dyDescent="0.35">
      <c r="A326" s="647">
        <v>2429</v>
      </c>
      <c r="B326" s="647" t="s">
        <v>5342</v>
      </c>
      <c r="C326" s="647" t="s">
        <v>5343</v>
      </c>
      <c r="D326" s="647" t="s">
        <v>2448</v>
      </c>
      <c r="E326" s="647" t="s">
        <v>2606</v>
      </c>
      <c r="F326" s="647" t="s">
        <v>5344</v>
      </c>
      <c r="G326" s="647" t="s">
        <v>5345</v>
      </c>
      <c r="H326" s="647" t="s">
        <v>5315</v>
      </c>
      <c r="I326" s="647" t="s">
        <v>4279</v>
      </c>
      <c r="J326" s="647">
        <v>1594627</v>
      </c>
      <c r="K326" s="647" t="s">
        <v>4453</v>
      </c>
      <c r="L326" s="647" t="s">
        <v>5090</v>
      </c>
      <c r="M326" s="647" t="s">
        <v>3826</v>
      </c>
      <c r="N326" s="648" t="e">
        <v>#N/A</v>
      </c>
    </row>
    <row r="327" spans="1:14" x14ac:dyDescent="0.35">
      <c r="A327" s="647">
        <v>2430</v>
      </c>
      <c r="B327" s="647" t="s">
        <v>5346</v>
      </c>
      <c r="C327" s="647" t="s">
        <v>5347</v>
      </c>
      <c r="D327" s="647" t="s">
        <v>2637</v>
      </c>
      <c r="E327" s="647" t="s">
        <v>2606</v>
      </c>
      <c r="F327" s="647">
        <v>23504</v>
      </c>
      <c r="G327" s="647" t="s">
        <v>5348</v>
      </c>
      <c r="H327" s="647" t="s">
        <v>3917</v>
      </c>
      <c r="I327" s="647" t="s">
        <v>4279</v>
      </c>
      <c r="J327" s="647">
        <v>390380</v>
      </c>
      <c r="K327" s="647" t="s">
        <v>3860</v>
      </c>
      <c r="L327" s="647" t="s">
        <v>5349</v>
      </c>
      <c r="M327" s="647" t="s">
        <v>4078</v>
      </c>
      <c r="N327" s="648">
        <v>40360</v>
      </c>
    </row>
    <row r="328" spans="1:14" x14ac:dyDescent="0.35">
      <c r="A328" s="647">
        <v>2433</v>
      </c>
      <c r="B328" s="647" t="s">
        <v>5350</v>
      </c>
      <c r="C328" s="647" t="s">
        <v>5351</v>
      </c>
      <c r="D328" s="647" t="s">
        <v>2639</v>
      </c>
      <c r="E328" s="647" t="s">
        <v>2640</v>
      </c>
      <c r="F328" s="647">
        <v>71315</v>
      </c>
      <c r="G328" s="647" t="s">
        <v>5352</v>
      </c>
      <c r="H328" s="647" t="s">
        <v>3822</v>
      </c>
      <c r="I328" s="647" t="s">
        <v>4502</v>
      </c>
      <c r="J328" s="647">
        <v>878306</v>
      </c>
      <c r="K328" s="647" t="s">
        <v>5301</v>
      </c>
      <c r="L328" s="647" t="s">
        <v>4676</v>
      </c>
      <c r="M328" s="647" t="s">
        <v>3826</v>
      </c>
      <c r="N328" s="648">
        <v>40360</v>
      </c>
    </row>
    <row r="329" spans="1:14" x14ac:dyDescent="0.35">
      <c r="A329" s="647">
        <v>2435</v>
      </c>
      <c r="B329" s="647" t="s">
        <v>5353</v>
      </c>
      <c r="C329" s="647" t="s">
        <v>5354</v>
      </c>
      <c r="D329" s="647" t="s">
        <v>5355</v>
      </c>
      <c r="E329" s="647" t="s">
        <v>2606</v>
      </c>
      <c r="F329" s="647">
        <v>40741</v>
      </c>
      <c r="G329" s="647" t="s">
        <v>5356</v>
      </c>
      <c r="H329" s="647" t="s">
        <v>3917</v>
      </c>
      <c r="I329" s="647" t="s">
        <v>4279</v>
      </c>
      <c r="J329" s="647"/>
      <c r="K329" s="647" t="s">
        <v>4654</v>
      </c>
      <c r="L329" s="647" t="s">
        <v>5357</v>
      </c>
      <c r="M329" s="647" t="s">
        <v>5358</v>
      </c>
      <c r="N329" s="648">
        <v>39994</v>
      </c>
    </row>
    <row r="330" spans="1:14" x14ac:dyDescent="0.35">
      <c r="A330" s="647">
        <v>2437</v>
      </c>
      <c r="B330" s="647" t="s">
        <v>5359</v>
      </c>
      <c r="C330" s="647" t="s">
        <v>5360</v>
      </c>
      <c r="D330" s="647" t="s">
        <v>2642</v>
      </c>
      <c r="E330" s="647" t="s">
        <v>2640</v>
      </c>
      <c r="F330" s="647">
        <v>70806</v>
      </c>
      <c r="G330" s="647" t="s">
        <v>5361</v>
      </c>
      <c r="H330" s="647" t="s">
        <v>3822</v>
      </c>
      <c r="I330" s="647" t="s">
        <v>3977</v>
      </c>
      <c r="J330" s="647">
        <v>13410568</v>
      </c>
      <c r="K330" s="647" t="s">
        <v>3885</v>
      </c>
      <c r="L330" s="647" t="s">
        <v>5362</v>
      </c>
      <c r="M330" s="647" t="s">
        <v>3836</v>
      </c>
      <c r="N330" s="648">
        <v>40178</v>
      </c>
    </row>
    <row r="331" spans="1:14" x14ac:dyDescent="0.35">
      <c r="A331" s="647">
        <v>2451</v>
      </c>
      <c r="B331" s="647" t="s">
        <v>5363</v>
      </c>
      <c r="C331" s="647" t="s">
        <v>5364</v>
      </c>
      <c r="D331" s="647" t="s">
        <v>2644</v>
      </c>
      <c r="E331" s="647" t="s">
        <v>2640</v>
      </c>
      <c r="F331" s="647">
        <v>70429</v>
      </c>
      <c r="G331" s="647" t="s">
        <v>5365</v>
      </c>
      <c r="H331" s="647" t="s">
        <v>3822</v>
      </c>
      <c r="I331" s="647" t="s">
        <v>4502</v>
      </c>
      <c r="J331" s="647">
        <v>165049</v>
      </c>
      <c r="K331" s="647" t="s">
        <v>2265</v>
      </c>
      <c r="L331" s="647" t="s">
        <v>3919</v>
      </c>
      <c r="M331" s="647" t="s">
        <v>5366</v>
      </c>
      <c r="N331" s="648">
        <v>40237</v>
      </c>
    </row>
    <row r="332" spans="1:14" x14ac:dyDescent="0.35">
      <c r="A332" s="647">
        <v>2453</v>
      </c>
      <c r="B332" s="647" t="s">
        <v>5367</v>
      </c>
      <c r="C332" s="647" t="s">
        <v>5368</v>
      </c>
      <c r="D332" s="647" t="s">
        <v>2284</v>
      </c>
      <c r="E332" s="647" t="s">
        <v>2606</v>
      </c>
      <c r="F332" s="647">
        <v>42602</v>
      </c>
      <c r="G332" s="647" t="s">
        <v>5369</v>
      </c>
      <c r="H332" s="647" t="s">
        <v>3917</v>
      </c>
      <c r="I332" s="647" t="s">
        <v>4279</v>
      </c>
      <c r="J332" s="647">
        <v>54822</v>
      </c>
      <c r="K332" s="647" t="s">
        <v>5160</v>
      </c>
      <c r="L332" s="647" t="s">
        <v>5370</v>
      </c>
      <c r="M332" s="647" t="s">
        <v>3826</v>
      </c>
      <c r="N332" s="648">
        <v>40295</v>
      </c>
    </row>
    <row r="333" spans="1:14" x14ac:dyDescent="0.35">
      <c r="A333" s="647">
        <v>2455</v>
      </c>
      <c r="B333" s="647" t="s">
        <v>5371</v>
      </c>
      <c r="C333" s="647" t="s">
        <v>5372</v>
      </c>
      <c r="D333" s="647" t="s">
        <v>5373</v>
      </c>
      <c r="E333" s="647" t="s">
        <v>2640</v>
      </c>
      <c r="F333" s="647">
        <v>70360</v>
      </c>
      <c r="G333" s="647" t="s">
        <v>5374</v>
      </c>
      <c r="H333" s="647" t="s">
        <v>3822</v>
      </c>
      <c r="I333" s="647" t="s">
        <v>4502</v>
      </c>
      <c r="J333" s="647"/>
      <c r="K333" s="647" t="s">
        <v>5375</v>
      </c>
      <c r="L333" s="647" t="s">
        <v>5376</v>
      </c>
      <c r="M333" s="647" t="s">
        <v>3826</v>
      </c>
      <c r="N333" s="648">
        <v>40330</v>
      </c>
    </row>
    <row r="334" spans="1:14" x14ac:dyDescent="0.35">
      <c r="A334" s="647">
        <v>2459</v>
      </c>
      <c r="B334" s="647" t="s">
        <v>5377</v>
      </c>
      <c r="C334" s="647" t="s">
        <v>5378</v>
      </c>
      <c r="D334" s="647" t="s">
        <v>5379</v>
      </c>
      <c r="E334" s="647" t="s">
        <v>2640</v>
      </c>
      <c r="F334" s="647">
        <v>70605</v>
      </c>
      <c r="G334" s="647" t="s">
        <v>5380</v>
      </c>
      <c r="H334" s="647" t="s">
        <v>3822</v>
      </c>
      <c r="I334" s="647" t="s">
        <v>4502</v>
      </c>
      <c r="J334" s="647"/>
      <c r="K334" s="647" t="s">
        <v>5381</v>
      </c>
      <c r="L334" s="647" t="s">
        <v>5382</v>
      </c>
      <c r="M334" s="647" t="s">
        <v>3826</v>
      </c>
      <c r="N334" s="648">
        <v>40422</v>
      </c>
    </row>
    <row r="335" spans="1:14" x14ac:dyDescent="0.35">
      <c r="A335" s="647">
        <v>2462</v>
      </c>
      <c r="B335" s="647" t="s">
        <v>5383</v>
      </c>
      <c r="C335" s="647" t="s">
        <v>5384</v>
      </c>
      <c r="D335" s="647" t="s">
        <v>2499</v>
      </c>
      <c r="E335" s="647" t="s">
        <v>2640</v>
      </c>
      <c r="F335" s="647">
        <v>70508</v>
      </c>
      <c r="G335" s="647" t="s">
        <v>5385</v>
      </c>
      <c r="H335" s="647" t="s">
        <v>3822</v>
      </c>
      <c r="I335" s="647" t="s">
        <v>4502</v>
      </c>
      <c r="J335" s="647">
        <v>428615</v>
      </c>
      <c r="K335" s="647" t="s">
        <v>4645</v>
      </c>
      <c r="L335" s="647" t="s">
        <v>5386</v>
      </c>
      <c r="M335" s="647" t="s">
        <v>3826</v>
      </c>
      <c r="N335" s="648">
        <v>40360</v>
      </c>
    </row>
    <row r="336" spans="1:14" x14ac:dyDescent="0.35">
      <c r="A336" s="647">
        <v>2467</v>
      </c>
      <c r="B336" s="647" t="s">
        <v>5387</v>
      </c>
      <c r="C336" s="647" t="s">
        <v>5388</v>
      </c>
      <c r="D336" s="647" t="s">
        <v>2648</v>
      </c>
      <c r="E336" s="647" t="s">
        <v>2640</v>
      </c>
      <c r="F336" s="647">
        <v>71201</v>
      </c>
      <c r="G336" s="647" t="s">
        <v>5389</v>
      </c>
      <c r="H336" s="647" t="s">
        <v>3822</v>
      </c>
      <c r="I336" s="647" t="s">
        <v>4502</v>
      </c>
      <c r="J336" s="647">
        <v>800096</v>
      </c>
      <c r="K336" s="647" t="s">
        <v>5390</v>
      </c>
      <c r="L336" s="647" t="s">
        <v>5391</v>
      </c>
      <c r="M336" s="647" t="s">
        <v>3826</v>
      </c>
      <c r="N336" s="648">
        <v>40178</v>
      </c>
    </row>
    <row r="337" spans="1:14" x14ac:dyDescent="0.35">
      <c r="A337" s="647">
        <v>2471</v>
      </c>
      <c r="B337" s="647" t="s">
        <v>5392</v>
      </c>
      <c r="C337" s="647" t="s">
        <v>5393</v>
      </c>
      <c r="D337" s="647" t="s">
        <v>2650</v>
      </c>
      <c r="E337" s="647" t="s">
        <v>2640</v>
      </c>
      <c r="F337" s="647">
        <v>70130</v>
      </c>
      <c r="G337" s="647" t="s">
        <v>5394</v>
      </c>
      <c r="H337" s="647" t="s">
        <v>3822</v>
      </c>
      <c r="I337" s="647" t="s">
        <v>3977</v>
      </c>
      <c r="J337" s="647">
        <v>7176905</v>
      </c>
      <c r="K337" s="647" t="s">
        <v>4164</v>
      </c>
      <c r="L337" s="647" t="s">
        <v>5395</v>
      </c>
      <c r="M337" s="647" t="s">
        <v>3826</v>
      </c>
      <c r="N337" s="648">
        <v>40303</v>
      </c>
    </row>
    <row r="338" spans="1:14" x14ac:dyDescent="0.35">
      <c r="A338" s="647">
        <v>2487</v>
      </c>
      <c r="B338" s="647" t="s">
        <v>5396</v>
      </c>
      <c r="C338" s="647" t="s">
        <v>5397</v>
      </c>
      <c r="D338" s="647" t="s">
        <v>2652</v>
      </c>
      <c r="E338" s="647" t="s">
        <v>2640</v>
      </c>
      <c r="F338" s="647">
        <v>70113</v>
      </c>
      <c r="G338" s="647" t="s">
        <v>5398</v>
      </c>
      <c r="H338" s="647" t="s">
        <v>3822</v>
      </c>
      <c r="I338" s="647" t="s">
        <v>3977</v>
      </c>
      <c r="J338" s="647">
        <v>10806963</v>
      </c>
      <c r="K338" s="647" t="s">
        <v>4001</v>
      </c>
      <c r="L338" s="647" t="s">
        <v>5399</v>
      </c>
      <c r="M338" s="647" t="s">
        <v>3826</v>
      </c>
      <c r="N338" s="648">
        <v>40360</v>
      </c>
    </row>
    <row r="339" spans="1:14" x14ac:dyDescent="0.35">
      <c r="A339" s="647">
        <v>2491</v>
      </c>
      <c r="B339" s="647" t="s">
        <v>5400</v>
      </c>
      <c r="C339" s="647" t="s">
        <v>5401</v>
      </c>
      <c r="D339" s="647" t="s">
        <v>2654</v>
      </c>
      <c r="E339" s="647" t="s">
        <v>2640</v>
      </c>
      <c r="F339" s="647">
        <v>71162</v>
      </c>
      <c r="G339" s="647" t="s">
        <v>5402</v>
      </c>
      <c r="H339" s="647" t="s">
        <v>3822</v>
      </c>
      <c r="I339" s="647" t="s">
        <v>3977</v>
      </c>
      <c r="J339" s="647">
        <v>2844224</v>
      </c>
      <c r="K339" s="647" t="s">
        <v>4628</v>
      </c>
      <c r="L339" s="647" t="s">
        <v>5403</v>
      </c>
      <c r="M339" s="647" t="s">
        <v>3826</v>
      </c>
      <c r="N339" s="648">
        <v>40360</v>
      </c>
    </row>
    <row r="340" spans="1:14" x14ac:dyDescent="0.35">
      <c r="A340" s="647">
        <v>2511</v>
      </c>
      <c r="B340" s="647" t="s">
        <v>5404</v>
      </c>
      <c r="C340" s="647" t="s">
        <v>5405</v>
      </c>
      <c r="D340" s="647" t="s">
        <v>2656</v>
      </c>
      <c r="E340" s="647" t="s">
        <v>2657</v>
      </c>
      <c r="F340" s="647">
        <v>4364</v>
      </c>
      <c r="G340" s="647" t="s">
        <v>5406</v>
      </c>
      <c r="H340" s="649"/>
      <c r="I340" s="649"/>
      <c r="J340" s="647">
        <v>764932</v>
      </c>
      <c r="K340" s="647" t="s">
        <v>5407</v>
      </c>
      <c r="L340" s="647" t="s">
        <v>5408</v>
      </c>
      <c r="M340" s="647" t="s">
        <v>3826</v>
      </c>
      <c r="N340" s="648" t="e">
        <v>#N/A</v>
      </c>
    </row>
    <row r="341" spans="1:14" x14ac:dyDescent="0.35">
      <c r="A341" s="647">
        <v>2512</v>
      </c>
      <c r="B341" s="647" t="s">
        <v>5409</v>
      </c>
      <c r="C341" s="647" t="s">
        <v>5410</v>
      </c>
      <c r="D341" s="647" t="s">
        <v>2659</v>
      </c>
      <c r="E341" s="647" t="s">
        <v>2657</v>
      </c>
      <c r="F341" s="647" t="s">
        <v>5411</v>
      </c>
      <c r="G341" s="647" t="s">
        <v>5412</v>
      </c>
      <c r="H341" s="649"/>
      <c r="I341" s="649"/>
      <c r="J341" s="647">
        <v>732305</v>
      </c>
      <c r="K341" s="647" t="s">
        <v>4385</v>
      </c>
      <c r="L341" s="647" t="s">
        <v>5413</v>
      </c>
      <c r="M341" s="647" t="s">
        <v>3826</v>
      </c>
      <c r="N341" s="648" t="e">
        <v>#N/A</v>
      </c>
    </row>
    <row r="342" spans="1:14" x14ac:dyDescent="0.35">
      <c r="A342" s="647">
        <v>2513</v>
      </c>
      <c r="B342" s="647" t="s">
        <v>5414</v>
      </c>
      <c r="C342" s="647" t="s">
        <v>5415</v>
      </c>
      <c r="D342" s="647" t="s">
        <v>2661</v>
      </c>
      <c r="E342" s="647" t="s">
        <v>2657</v>
      </c>
      <c r="F342" s="647">
        <v>4468</v>
      </c>
      <c r="G342" s="647" t="s">
        <v>5416</v>
      </c>
      <c r="H342" s="647" t="s">
        <v>4247</v>
      </c>
      <c r="I342" s="647" t="s">
        <v>4264</v>
      </c>
      <c r="J342" s="647">
        <v>1650100</v>
      </c>
      <c r="K342" s="647" t="s">
        <v>4067</v>
      </c>
      <c r="L342" s="647" t="s">
        <v>5417</v>
      </c>
      <c r="M342" s="647" t="s">
        <v>4009</v>
      </c>
      <c r="N342" s="648">
        <v>40503</v>
      </c>
    </row>
    <row r="343" spans="1:14" x14ac:dyDescent="0.35">
      <c r="A343" s="647">
        <v>2516</v>
      </c>
      <c r="B343" s="647" t="s">
        <v>5418</v>
      </c>
      <c r="C343" s="647" t="s">
        <v>5419</v>
      </c>
      <c r="D343" s="647" t="s">
        <v>2663</v>
      </c>
      <c r="E343" s="647" t="s">
        <v>2657</v>
      </c>
      <c r="F343" s="647">
        <v>4538</v>
      </c>
      <c r="G343" s="647" t="s">
        <v>5420</v>
      </c>
      <c r="H343" s="647" t="s">
        <v>4247</v>
      </c>
      <c r="I343" s="647" t="s">
        <v>4264</v>
      </c>
      <c r="J343" s="647">
        <v>1929297</v>
      </c>
      <c r="K343" s="647" t="s">
        <v>5421</v>
      </c>
      <c r="L343" s="647" t="s">
        <v>5422</v>
      </c>
      <c r="M343" s="647" t="s">
        <v>4078</v>
      </c>
      <c r="N343" s="648">
        <v>40179</v>
      </c>
    </row>
    <row r="344" spans="1:14" x14ac:dyDescent="0.35">
      <c r="A344" s="647">
        <v>2517</v>
      </c>
      <c r="B344" s="647" t="s">
        <v>5423</v>
      </c>
      <c r="C344" s="647" t="s">
        <v>5424</v>
      </c>
      <c r="D344" s="647" t="s">
        <v>2665</v>
      </c>
      <c r="E344" s="647" t="s">
        <v>2657</v>
      </c>
      <c r="F344" s="647">
        <v>4605</v>
      </c>
      <c r="G344" s="647" t="s">
        <v>5425</v>
      </c>
      <c r="H344" s="647" t="s">
        <v>4247</v>
      </c>
      <c r="I344" s="647" t="s">
        <v>4279</v>
      </c>
      <c r="J344" s="647">
        <v>1734397</v>
      </c>
      <c r="K344" s="647" t="s">
        <v>4568</v>
      </c>
      <c r="L344" s="647" t="s">
        <v>5426</v>
      </c>
      <c r="M344" s="647" t="s">
        <v>3826</v>
      </c>
      <c r="N344" s="648">
        <v>40179</v>
      </c>
    </row>
    <row r="345" spans="1:14" x14ac:dyDescent="0.35">
      <c r="A345" s="647">
        <v>2519</v>
      </c>
      <c r="B345" s="647" t="s">
        <v>5427</v>
      </c>
      <c r="C345" s="647" t="s">
        <v>5428</v>
      </c>
      <c r="D345" s="647" t="s">
        <v>2667</v>
      </c>
      <c r="E345" s="647" t="s">
        <v>2657</v>
      </c>
      <c r="F345" s="647">
        <v>47167</v>
      </c>
      <c r="G345" s="647" t="s">
        <v>5429</v>
      </c>
      <c r="H345" s="647" t="s">
        <v>4247</v>
      </c>
      <c r="I345" s="647" t="s">
        <v>4279</v>
      </c>
      <c r="J345" s="647">
        <v>1072936</v>
      </c>
      <c r="K345" s="647" t="s">
        <v>4935</v>
      </c>
      <c r="L345" s="647" t="s">
        <v>5430</v>
      </c>
      <c r="M345" s="647" t="s">
        <v>4078</v>
      </c>
      <c r="N345" s="648">
        <v>40179</v>
      </c>
    </row>
    <row r="346" spans="1:14" x14ac:dyDescent="0.35">
      <c r="A346" s="647">
        <v>2521</v>
      </c>
      <c r="B346" s="647" t="s">
        <v>5431</v>
      </c>
      <c r="C346" s="647" t="s">
        <v>5432</v>
      </c>
      <c r="D346" s="647" t="s">
        <v>2291</v>
      </c>
      <c r="E346" s="647" t="s">
        <v>2657</v>
      </c>
      <c r="F346" s="647">
        <v>4330</v>
      </c>
      <c r="G346" s="647" t="s">
        <v>5433</v>
      </c>
      <c r="H346" s="647" t="s">
        <v>4247</v>
      </c>
      <c r="I346" s="647" t="s">
        <v>4279</v>
      </c>
      <c r="J346" s="647">
        <v>1938247</v>
      </c>
      <c r="K346" s="647" t="s">
        <v>3860</v>
      </c>
      <c r="L346" s="647" t="s">
        <v>5434</v>
      </c>
      <c r="M346" s="647" t="s">
        <v>3826</v>
      </c>
      <c r="N346" s="648">
        <v>40179</v>
      </c>
    </row>
    <row r="347" spans="1:14" x14ac:dyDescent="0.35">
      <c r="A347" s="647">
        <v>2522</v>
      </c>
      <c r="B347" s="647" t="s">
        <v>5435</v>
      </c>
      <c r="C347" s="647" t="s">
        <v>5436</v>
      </c>
      <c r="D347" s="647" t="s">
        <v>2670</v>
      </c>
      <c r="E347" s="647" t="s">
        <v>2657</v>
      </c>
      <c r="F347" s="647">
        <v>4426</v>
      </c>
      <c r="G347" s="647" t="s">
        <v>5437</v>
      </c>
      <c r="H347" s="647" t="s">
        <v>4247</v>
      </c>
      <c r="I347" s="647" t="s">
        <v>4279</v>
      </c>
      <c r="J347" s="647">
        <v>456617</v>
      </c>
      <c r="K347" s="647" t="s">
        <v>5438</v>
      </c>
      <c r="L347" s="647" t="s">
        <v>5439</v>
      </c>
      <c r="M347" s="647" t="s">
        <v>4078</v>
      </c>
      <c r="N347" s="648">
        <v>40442</v>
      </c>
    </row>
    <row r="348" spans="1:14" x14ac:dyDescent="0.35">
      <c r="A348" s="647">
        <v>2525</v>
      </c>
      <c r="B348" s="647" t="s">
        <v>5440</v>
      </c>
      <c r="C348" s="647" t="s">
        <v>5441</v>
      </c>
      <c r="D348" s="647" t="s">
        <v>2439</v>
      </c>
      <c r="E348" s="647" t="s">
        <v>2657</v>
      </c>
      <c r="F348" s="647">
        <v>4210</v>
      </c>
      <c r="G348" s="647" t="s">
        <v>5442</v>
      </c>
      <c r="H348" s="649"/>
      <c r="I348" s="649"/>
      <c r="J348" s="647">
        <v>1783787</v>
      </c>
      <c r="K348" s="647" t="s">
        <v>3835</v>
      </c>
      <c r="L348" s="647" t="s">
        <v>5443</v>
      </c>
      <c r="M348" s="647" t="s">
        <v>3826</v>
      </c>
      <c r="N348" s="648" t="e">
        <v>#N/A</v>
      </c>
    </row>
    <row r="349" spans="1:14" x14ac:dyDescent="0.35">
      <c r="A349" s="647">
        <v>2526</v>
      </c>
      <c r="B349" s="647" t="s">
        <v>5444</v>
      </c>
      <c r="C349" s="647" t="s">
        <v>5445</v>
      </c>
      <c r="D349" s="647" t="s">
        <v>2673</v>
      </c>
      <c r="E349" s="647" t="s">
        <v>2657</v>
      </c>
      <c r="F349" s="647">
        <v>4543</v>
      </c>
      <c r="G349" s="647" t="s">
        <v>5446</v>
      </c>
      <c r="H349" s="647" t="s">
        <v>5315</v>
      </c>
      <c r="I349" s="647" t="s">
        <v>4083</v>
      </c>
      <c r="J349" s="647">
        <v>976152</v>
      </c>
      <c r="K349" s="647" t="s">
        <v>4129</v>
      </c>
      <c r="L349" s="647" t="s">
        <v>3165</v>
      </c>
      <c r="M349" s="647" t="s">
        <v>3826</v>
      </c>
      <c r="N349" s="648" t="e">
        <v>#N/A</v>
      </c>
    </row>
    <row r="350" spans="1:14" x14ac:dyDescent="0.35">
      <c r="A350" s="647">
        <v>2529</v>
      </c>
      <c r="B350" s="647" t="s">
        <v>5447</v>
      </c>
      <c r="C350" s="647" t="s">
        <v>5448</v>
      </c>
      <c r="D350" s="647" t="s">
        <v>2675</v>
      </c>
      <c r="E350" s="647" t="s">
        <v>2657</v>
      </c>
      <c r="F350" s="647">
        <v>4401</v>
      </c>
      <c r="G350" s="647" t="s">
        <v>5449</v>
      </c>
      <c r="H350" s="647" t="s">
        <v>4247</v>
      </c>
      <c r="I350" s="647" t="s">
        <v>4279</v>
      </c>
      <c r="J350" s="647">
        <v>2103356</v>
      </c>
      <c r="K350" s="647" t="s">
        <v>4044</v>
      </c>
      <c r="L350" s="647" t="s">
        <v>5450</v>
      </c>
      <c r="M350" s="647" t="s">
        <v>3826</v>
      </c>
      <c r="N350" s="648">
        <v>40452</v>
      </c>
    </row>
    <row r="351" spans="1:14" x14ac:dyDescent="0.35">
      <c r="A351" s="647">
        <v>2533</v>
      </c>
      <c r="B351" s="647" t="s">
        <v>5451</v>
      </c>
      <c r="C351" s="647" t="s">
        <v>5452</v>
      </c>
      <c r="D351" s="647" t="s">
        <v>2677</v>
      </c>
      <c r="E351" s="647" t="s">
        <v>2657</v>
      </c>
      <c r="F351" s="647">
        <v>4609</v>
      </c>
      <c r="G351" s="647" t="s">
        <v>5453</v>
      </c>
      <c r="H351" s="647" t="s">
        <v>4247</v>
      </c>
      <c r="I351" s="647" t="s">
        <v>4279</v>
      </c>
      <c r="J351" s="647">
        <v>1509414</v>
      </c>
      <c r="K351" s="647" t="s">
        <v>4945</v>
      </c>
      <c r="L351" s="647" t="s">
        <v>5454</v>
      </c>
      <c r="M351" s="647" t="s">
        <v>4078</v>
      </c>
      <c r="N351" s="648">
        <v>40179</v>
      </c>
    </row>
    <row r="352" spans="1:14" x14ac:dyDescent="0.35">
      <c r="A352" s="647">
        <v>2537</v>
      </c>
      <c r="B352" s="647" t="s">
        <v>5455</v>
      </c>
      <c r="C352" s="647" t="s">
        <v>5456</v>
      </c>
      <c r="D352" s="647" t="s">
        <v>2679</v>
      </c>
      <c r="E352" s="647" t="s">
        <v>2657</v>
      </c>
      <c r="F352" s="647">
        <v>4530</v>
      </c>
      <c r="G352" s="647" t="s">
        <v>5457</v>
      </c>
      <c r="H352" s="647" t="s">
        <v>4247</v>
      </c>
      <c r="I352" s="647" t="s">
        <v>4279</v>
      </c>
      <c r="J352" s="647">
        <v>2360030</v>
      </c>
      <c r="K352" s="647" t="s">
        <v>4176</v>
      </c>
      <c r="L352" s="647" t="s">
        <v>5458</v>
      </c>
      <c r="M352" s="647" t="s">
        <v>4078</v>
      </c>
      <c r="N352" s="648">
        <v>40452</v>
      </c>
    </row>
    <row r="353" spans="1:14" x14ac:dyDescent="0.35">
      <c r="A353" s="647">
        <v>2540</v>
      </c>
      <c r="B353" s="647" t="s">
        <v>5459</v>
      </c>
      <c r="C353" s="647" t="s">
        <v>5460</v>
      </c>
      <c r="D353" s="647" t="s">
        <v>2681</v>
      </c>
      <c r="E353" s="647" t="s">
        <v>2657</v>
      </c>
      <c r="F353" s="647">
        <v>4005</v>
      </c>
      <c r="G353" s="647" t="s">
        <v>5461</v>
      </c>
      <c r="H353" s="647" t="s">
        <v>4247</v>
      </c>
      <c r="I353" s="647" t="s">
        <v>4264</v>
      </c>
      <c r="J353" s="647">
        <v>1564320</v>
      </c>
      <c r="K353" s="647" t="s">
        <v>5199</v>
      </c>
      <c r="L353" s="647" t="s">
        <v>5462</v>
      </c>
      <c r="M353" s="647" t="s">
        <v>4078</v>
      </c>
      <c r="N353" s="648">
        <v>40283</v>
      </c>
    </row>
    <row r="354" spans="1:14" x14ac:dyDescent="0.35">
      <c r="A354" s="647">
        <v>2541</v>
      </c>
      <c r="B354" s="647" t="s">
        <v>5463</v>
      </c>
      <c r="C354" s="647" t="s">
        <v>5464</v>
      </c>
      <c r="D354" s="647" t="s">
        <v>2683</v>
      </c>
      <c r="E354" s="647" t="s">
        <v>2657</v>
      </c>
      <c r="F354" s="647">
        <v>4856</v>
      </c>
      <c r="G354" s="647" t="s">
        <v>5465</v>
      </c>
      <c r="H354" s="647" t="s">
        <v>4247</v>
      </c>
      <c r="I354" s="647" t="s">
        <v>4279</v>
      </c>
      <c r="J354" s="647">
        <v>2772763</v>
      </c>
      <c r="K354" s="647" t="s">
        <v>5466</v>
      </c>
      <c r="L354" s="647" t="s">
        <v>5467</v>
      </c>
      <c r="M354" s="647" t="s">
        <v>3826</v>
      </c>
      <c r="N354" s="648">
        <v>40483</v>
      </c>
    </row>
    <row r="355" spans="1:14" x14ac:dyDescent="0.35">
      <c r="A355" s="647">
        <v>2545</v>
      </c>
      <c r="B355" s="647" t="s">
        <v>5468</v>
      </c>
      <c r="C355" s="647" t="s">
        <v>5469</v>
      </c>
      <c r="D355" s="647" t="s">
        <v>2685</v>
      </c>
      <c r="E355" s="647" t="s">
        <v>2657</v>
      </c>
      <c r="F355" s="647">
        <v>4104</v>
      </c>
      <c r="G355" s="647" t="s">
        <v>5470</v>
      </c>
      <c r="H355" s="647" t="s">
        <v>5315</v>
      </c>
      <c r="I355" s="647" t="s">
        <v>4083</v>
      </c>
      <c r="J355" s="647">
        <v>6028317</v>
      </c>
      <c r="K355" s="647" t="s">
        <v>5471</v>
      </c>
      <c r="L355" s="647" t="s">
        <v>5472</v>
      </c>
      <c r="M355" s="647" t="s">
        <v>3826</v>
      </c>
      <c r="N355" s="648" t="e">
        <v>#N/A</v>
      </c>
    </row>
    <row r="356" spans="1:14" x14ac:dyDescent="0.35">
      <c r="A356" s="647">
        <v>2549</v>
      </c>
      <c r="B356" s="647" t="s">
        <v>5473</v>
      </c>
      <c r="C356" s="647" t="s">
        <v>5474</v>
      </c>
      <c r="D356" s="647" t="s">
        <v>2687</v>
      </c>
      <c r="E356" s="647" t="s">
        <v>2657</v>
      </c>
      <c r="F356" s="647">
        <v>93455</v>
      </c>
      <c r="G356" s="647" t="s">
        <v>5475</v>
      </c>
      <c r="H356" s="647" t="s">
        <v>4247</v>
      </c>
      <c r="I356" s="647" t="s">
        <v>4279</v>
      </c>
      <c r="J356" s="647">
        <v>1614874</v>
      </c>
      <c r="K356" s="647" t="s">
        <v>5421</v>
      </c>
      <c r="L356" s="647" t="s">
        <v>5476</v>
      </c>
      <c r="M356" s="647" t="s">
        <v>3826</v>
      </c>
      <c r="N356" s="648">
        <v>40360</v>
      </c>
    </row>
    <row r="357" spans="1:14" x14ac:dyDescent="0.35">
      <c r="A357" s="647">
        <v>2565</v>
      </c>
      <c r="B357" s="647" t="s">
        <v>5477</v>
      </c>
      <c r="C357" s="647" t="s">
        <v>5478</v>
      </c>
      <c r="D357" s="647" t="s">
        <v>2689</v>
      </c>
      <c r="E357" s="647" t="s">
        <v>2690</v>
      </c>
      <c r="F357" s="647">
        <v>21201</v>
      </c>
      <c r="G357" s="647" t="s">
        <v>5479</v>
      </c>
      <c r="H357" s="647" t="s">
        <v>3944</v>
      </c>
      <c r="I357" s="647" t="s">
        <v>4083</v>
      </c>
      <c r="J357" s="647">
        <v>35304213</v>
      </c>
      <c r="K357" s="647" t="s">
        <v>4259</v>
      </c>
      <c r="L357" s="647" t="s">
        <v>5480</v>
      </c>
      <c r="M357" s="647" t="s">
        <v>3826</v>
      </c>
      <c r="N357" s="648">
        <v>40483</v>
      </c>
    </row>
    <row r="358" spans="1:14" x14ac:dyDescent="0.35">
      <c r="A358" s="647">
        <v>2605</v>
      </c>
      <c r="B358" s="647" t="s">
        <v>5481</v>
      </c>
      <c r="C358" s="647" t="s">
        <v>5482</v>
      </c>
      <c r="D358" s="647" t="s">
        <v>2692</v>
      </c>
      <c r="E358" s="647" t="s">
        <v>2690</v>
      </c>
      <c r="F358" s="647">
        <v>21502</v>
      </c>
      <c r="G358" s="647" t="s">
        <v>5483</v>
      </c>
      <c r="H358" s="647" t="s">
        <v>3944</v>
      </c>
      <c r="I358" s="647" t="s">
        <v>4111</v>
      </c>
      <c r="J358" s="647">
        <v>3477131</v>
      </c>
      <c r="K358" s="647" t="s">
        <v>4385</v>
      </c>
      <c r="L358" s="647" t="s">
        <v>4386</v>
      </c>
      <c r="M358" s="647" t="s">
        <v>3826</v>
      </c>
      <c r="N358" s="648">
        <v>40370</v>
      </c>
    </row>
    <row r="359" spans="1:14" x14ac:dyDescent="0.35">
      <c r="A359" s="647">
        <v>2612</v>
      </c>
      <c r="B359" s="647" t="s">
        <v>5484</v>
      </c>
      <c r="C359" s="647" t="s">
        <v>5485</v>
      </c>
      <c r="D359" s="647" t="s">
        <v>2694</v>
      </c>
      <c r="E359" s="647" t="s">
        <v>2690</v>
      </c>
      <c r="F359" s="647">
        <v>21613</v>
      </c>
      <c r="G359" s="647" t="s">
        <v>5486</v>
      </c>
      <c r="H359" s="647" t="s">
        <v>3822</v>
      </c>
      <c r="I359" s="647" t="s">
        <v>3995</v>
      </c>
      <c r="J359" s="647">
        <v>918288</v>
      </c>
      <c r="K359" s="647" t="s">
        <v>5487</v>
      </c>
      <c r="L359" s="647" t="s">
        <v>5488</v>
      </c>
      <c r="M359" s="647" t="s">
        <v>3826</v>
      </c>
      <c r="N359" s="648">
        <v>40360</v>
      </c>
    </row>
    <row r="360" spans="1:14" x14ac:dyDescent="0.35">
      <c r="A360" s="647">
        <v>2615</v>
      </c>
      <c r="B360" s="647" t="s">
        <v>5489</v>
      </c>
      <c r="C360" s="647" t="s">
        <v>5490</v>
      </c>
      <c r="D360" s="647" t="s">
        <v>2696</v>
      </c>
      <c r="E360" s="647" t="s">
        <v>2690</v>
      </c>
      <c r="F360" s="647">
        <v>21921</v>
      </c>
      <c r="G360" s="647" t="s">
        <v>5491</v>
      </c>
      <c r="H360" s="647" t="s">
        <v>3822</v>
      </c>
      <c r="I360" s="647" t="s">
        <v>3995</v>
      </c>
      <c r="J360" s="647">
        <v>2794770</v>
      </c>
      <c r="K360" s="647" t="s">
        <v>5009</v>
      </c>
      <c r="L360" s="647" t="s">
        <v>5492</v>
      </c>
      <c r="M360" s="647" t="s">
        <v>3826</v>
      </c>
      <c r="N360" s="648">
        <v>40269</v>
      </c>
    </row>
    <row r="361" spans="1:14" x14ac:dyDescent="0.35">
      <c r="A361" s="647">
        <v>2619</v>
      </c>
      <c r="B361" s="647" t="s">
        <v>5493</v>
      </c>
      <c r="C361" s="647" t="s">
        <v>5494</v>
      </c>
      <c r="D361" s="647" t="s">
        <v>2698</v>
      </c>
      <c r="E361" s="647" t="s">
        <v>2690</v>
      </c>
      <c r="F361" s="647">
        <v>21742</v>
      </c>
      <c r="G361" s="647" t="s">
        <v>5495</v>
      </c>
      <c r="H361" s="649"/>
      <c r="I361" s="649"/>
      <c r="J361" s="647">
        <v>3513170</v>
      </c>
      <c r="K361" s="647" t="s">
        <v>4453</v>
      </c>
      <c r="L361" s="647" t="s">
        <v>5496</v>
      </c>
      <c r="M361" s="647" t="s">
        <v>3826</v>
      </c>
      <c r="N361" s="648" t="e">
        <v>#N/A</v>
      </c>
    </row>
    <row r="362" spans="1:14" x14ac:dyDescent="0.35">
      <c r="A362" s="647">
        <v>2623</v>
      </c>
      <c r="B362" s="647" t="s">
        <v>5497</v>
      </c>
      <c r="C362" s="647" t="s">
        <v>5498</v>
      </c>
      <c r="D362" s="647" t="s">
        <v>2700</v>
      </c>
      <c r="E362" s="647" t="s">
        <v>2690</v>
      </c>
      <c r="F362" s="647">
        <v>21701</v>
      </c>
      <c r="G362" s="647" t="s">
        <v>5499</v>
      </c>
      <c r="H362" s="647" t="s">
        <v>3944</v>
      </c>
      <c r="I362" s="647" t="s">
        <v>3995</v>
      </c>
      <c r="J362" s="647">
        <v>9457635</v>
      </c>
      <c r="K362" s="647" t="s">
        <v>5500</v>
      </c>
      <c r="L362" s="647" t="s">
        <v>5501</v>
      </c>
      <c r="M362" s="647" t="s">
        <v>3826</v>
      </c>
      <c r="N362" s="648">
        <v>40360</v>
      </c>
    </row>
    <row r="363" spans="1:14" x14ac:dyDescent="0.35">
      <c r="A363" s="647">
        <v>2627</v>
      </c>
      <c r="B363" s="647" t="s">
        <v>5502</v>
      </c>
      <c r="C363" s="647" t="s">
        <v>5503</v>
      </c>
      <c r="D363" s="647" t="s">
        <v>2702</v>
      </c>
      <c r="E363" s="647" t="s">
        <v>2690</v>
      </c>
      <c r="F363" s="647">
        <v>21802</v>
      </c>
      <c r="G363" s="647" t="s">
        <v>5504</v>
      </c>
      <c r="H363" s="647" t="s">
        <v>3822</v>
      </c>
      <c r="I363" s="647" t="s">
        <v>3995</v>
      </c>
      <c r="J363" s="647">
        <v>3234430</v>
      </c>
      <c r="K363" s="647" t="s">
        <v>4118</v>
      </c>
      <c r="L363" s="647" t="s">
        <v>5505</v>
      </c>
      <c r="M363" s="647" t="s">
        <v>3826</v>
      </c>
      <c r="N363" s="648">
        <v>40280</v>
      </c>
    </row>
    <row r="364" spans="1:14" x14ac:dyDescent="0.35">
      <c r="A364" s="647">
        <v>2631</v>
      </c>
      <c r="B364" s="647" t="s">
        <v>5506</v>
      </c>
      <c r="C364" s="647" t="s">
        <v>5507</v>
      </c>
      <c r="D364" s="647" t="s">
        <v>2704</v>
      </c>
      <c r="E364" s="647" t="s">
        <v>2690</v>
      </c>
      <c r="F364" s="647">
        <v>21601</v>
      </c>
      <c r="G364" s="647" t="s">
        <v>5508</v>
      </c>
      <c r="H364" s="647" t="s">
        <v>3822</v>
      </c>
      <c r="I364" s="647" t="s">
        <v>4083</v>
      </c>
      <c r="J364" s="647">
        <v>3378143</v>
      </c>
      <c r="K364" s="647" t="s">
        <v>5509</v>
      </c>
      <c r="L364" s="647" t="s">
        <v>5510</v>
      </c>
      <c r="M364" s="647" t="s">
        <v>3826</v>
      </c>
      <c r="N364" s="648">
        <v>40178</v>
      </c>
    </row>
    <row r="365" spans="1:14" x14ac:dyDescent="0.35">
      <c r="A365" s="647">
        <v>2639</v>
      </c>
      <c r="B365" s="647" t="s">
        <v>5511</v>
      </c>
      <c r="C365" s="647" t="s">
        <v>5512</v>
      </c>
      <c r="D365" s="647" t="s">
        <v>2706</v>
      </c>
      <c r="E365" s="647" t="s">
        <v>2707</v>
      </c>
      <c r="F365" s="647">
        <v>1331</v>
      </c>
      <c r="G365" s="647" t="s">
        <v>5513</v>
      </c>
      <c r="H365" s="647" t="s">
        <v>4247</v>
      </c>
      <c r="I365" s="649"/>
      <c r="J365" s="647">
        <v>1126494</v>
      </c>
      <c r="K365" s="647" t="s">
        <v>5514</v>
      </c>
      <c r="L365" s="647" t="s">
        <v>5515</v>
      </c>
      <c r="M365" s="647" t="s">
        <v>3826</v>
      </c>
      <c r="N365" s="648" t="e">
        <v>#N/A</v>
      </c>
    </row>
    <row r="366" spans="1:14" x14ac:dyDescent="0.35">
      <c r="A366" s="647">
        <v>2643</v>
      </c>
      <c r="B366" s="647" t="s">
        <v>5516</v>
      </c>
      <c r="C366" s="647" t="s">
        <v>5517</v>
      </c>
      <c r="D366" s="647" t="s">
        <v>2709</v>
      </c>
      <c r="E366" s="647" t="s">
        <v>2707</v>
      </c>
      <c r="F366" s="647">
        <v>2703</v>
      </c>
      <c r="G366" s="647" t="s">
        <v>5518</v>
      </c>
      <c r="H366" s="647" t="s">
        <v>4247</v>
      </c>
      <c r="I366" s="647" t="s">
        <v>4253</v>
      </c>
      <c r="J366" s="647">
        <v>3087161</v>
      </c>
      <c r="K366" s="647" t="s">
        <v>5519</v>
      </c>
      <c r="L366" s="647" t="s">
        <v>5520</v>
      </c>
      <c r="M366" s="647" t="s">
        <v>3826</v>
      </c>
      <c r="N366" s="648">
        <v>40360</v>
      </c>
    </row>
    <row r="367" spans="1:14" x14ac:dyDescent="0.35">
      <c r="A367" s="647">
        <v>2645</v>
      </c>
      <c r="B367" s="647" t="s">
        <v>5521</v>
      </c>
      <c r="C367" s="647" t="s">
        <v>5522</v>
      </c>
      <c r="D367" s="647" t="s">
        <v>2711</v>
      </c>
      <c r="E367" s="647" t="s">
        <v>2707</v>
      </c>
      <c r="F367" s="647">
        <v>1223</v>
      </c>
      <c r="G367" s="647" t="s">
        <v>5523</v>
      </c>
      <c r="H367" s="647" t="s">
        <v>4247</v>
      </c>
      <c r="I367" s="647" t="s">
        <v>4253</v>
      </c>
      <c r="J367" s="647">
        <v>6459531</v>
      </c>
      <c r="K367" s="647" t="s">
        <v>4176</v>
      </c>
      <c r="L367" s="647" t="s">
        <v>5524</v>
      </c>
      <c r="M367" s="647" t="s">
        <v>3826</v>
      </c>
      <c r="N367" s="648">
        <v>40148</v>
      </c>
    </row>
    <row r="368" spans="1:14" x14ac:dyDescent="0.35">
      <c r="A368" s="647">
        <v>2651</v>
      </c>
      <c r="B368" s="647" t="s">
        <v>5525</v>
      </c>
      <c r="C368" s="647" t="s">
        <v>5526</v>
      </c>
      <c r="D368" s="647" t="s">
        <v>2713</v>
      </c>
      <c r="E368" s="647" t="s">
        <v>2707</v>
      </c>
      <c r="F368" s="647">
        <v>2115</v>
      </c>
      <c r="G368" s="647" t="s">
        <v>5527</v>
      </c>
      <c r="H368" s="647" t="s">
        <v>4247</v>
      </c>
      <c r="I368" s="647" t="s">
        <v>4253</v>
      </c>
      <c r="J368" s="647">
        <v>56004180</v>
      </c>
      <c r="K368" s="647" t="s">
        <v>4259</v>
      </c>
      <c r="L368" s="647" t="s">
        <v>5528</v>
      </c>
      <c r="M368" s="647" t="s">
        <v>3826</v>
      </c>
      <c r="N368" s="648">
        <v>40451</v>
      </c>
    </row>
    <row r="369" spans="1:14" x14ac:dyDescent="0.35">
      <c r="A369" s="647">
        <v>2717</v>
      </c>
      <c r="B369" s="647" t="s">
        <v>5529</v>
      </c>
      <c r="C369" s="647" t="s">
        <v>5530</v>
      </c>
      <c r="D369" s="647" t="s">
        <v>2715</v>
      </c>
      <c r="E369" s="647" t="s">
        <v>2707</v>
      </c>
      <c r="F369" s="647">
        <v>2301</v>
      </c>
      <c r="G369" s="647" t="s">
        <v>5531</v>
      </c>
      <c r="H369" s="647" t="s">
        <v>4247</v>
      </c>
      <c r="I369" s="647" t="s">
        <v>4264</v>
      </c>
      <c r="J369" s="647">
        <v>35946212</v>
      </c>
      <c r="K369" s="647" t="s">
        <v>5532</v>
      </c>
      <c r="L369" s="647" t="s">
        <v>5533</v>
      </c>
      <c r="M369" s="647" t="s">
        <v>3826</v>
      </c>
      <c r="N369" s="648">
        <v>40391</v>
      </c>
    </row>
    <row r="370" spans="1:14" x14ac:dyDescent="0.35">
      <c r="A370" s="647">
        <v>2721</v>
      </c>
      <c r="B370" s="647" t="s">
        <v>5534</v>
      </c>
      <c r="C370" s="647" t="s">
        <v>5535</v>
      </c>
      <c r="D370" s="647" t="s">
        <v>2717</v>
      </c>
      <c r="E370" s="647" t="s">
        <v>2707</v>
      </c>
      <c r="F370" s="647">
        <v>2668</v>
      </c>
      <c r="G370" s="647" t="s">
        <v>5536</v>
      </c>
      <c r="H370" s="647" t="s">
        <v>4247</v>
      </c>
      <c r="I370" s="647" t="s">
        <v>4264</v>
      </c>
      <c r="J370" s="647">
        <v>3972163</v>
      </c>
      <c r="K370" s="647" t="s">
        <v>5537</v>
      </c>
      <c r="L370" s="647" t="s">
        <v>5538</v>
      </c>
      <c r="M370" s="647" t="s">
        <v>3826</v>
      </c>
      <c r="N370" s="648">
        <v>40360</v>
      </c>
    </row>
    <row r="371" spans="1:14" x14ac:dyDescent="0.35">
      <c r="A371" s="647">
        <v>2725</v>
      </c>
      <c r="B371" s="647" t="s">
        <v>5539</v>
      </c>
      <c r="C371" s="647" t="s">
        <v>5540</v>
      </c>
      <c r="D371" s="647" t="s">
        <v>2694</v>
      </c>
      <c r="E371" s="647" t="s">
        <v>2707</v>
      </c>
      <c r="F371" s="647">
        <v>2139</v>
      </c>
      <c r="G371" s="647" t="s">
        <v>5541</v>
      </c>
      <c r="H371" s="649"/>
      <c r="I371" s="649"/>
      <c r="J371" s="647">
        <v>2312230</v>
      </c>
      <c r="K371" s="647" t="s">
        <v>5542</v>
      </c>
      <c r="L371" s="647" t="s">
        <v>3927</v>
      </c>
      <c r="M371" s="647" t="s">
        <v>3836</v>
      </c>
      <c r="N371" s="648" t="e">
        <v>#N/A</v>
      </c>
    </row>
    <row r="372" spans="1:14" x14ac:dyDescent="0.35">
      <c r="A372" s="647">
        <v>2728</v>
      </c>
      <c r="B372" s="647" t="s">
        <v>5543</v>
      </c>
      <c r="C372" s="647" t="s">
        <v>5544</v>
      </c>
      <c r="D372" s="647" t="s">
        <v>2720</v>
      </c>
      <c r="E372" s="647" t="s">
        <v>2707</v>
      </c>
      <c r="F372" s="647">
        <v>2150</v>
      </c>
      <c r="G372" s="647" t="s">
        <v>5545</v>
      </c>
      <c r="H372" s="649"/>
      <c r="I372" s="649"/>
      <c r="J372" s="647"/>
      <c r="K372" s="647" t="s">
        <v>5546</v>
      </c>
      <c r="L372" s="647" t="s">
        <v>5547</v>
      </c>
      <c r="M372" s="647" t="s">
        <v>3826</v>
      </c>
      <c r="N372" s="648" t="e">
        <v>#N/A</v>
      </c>
    </row>
    <row r="373" spans="1:14" x14ac:dyDescent="0.35">
      <c r="A373" s="647">
        <v>2741</v>
      </c>
      <c r="B373" s="647" t="s">
        <v>5548</v>
      </c>
      <c r="C373" s="647" t="s">
        <v>5549</v>
      </c>
      <c r="D373" s="647" t="s">
        <v>2722</v>
      </c>
      <c r="E373" s="647" t="s">
        <v>2707</v>
      </c>
      <c r="F373" s="647">
        <v>1923</v>
      </c>
      <c r="G373" s="647" t="s">
        <v>5550</v>
      </c>
      <c r="H373" s="647" t="s">
        <v>4247</v>
      </c>
      <c r="I373" s="647" t="s">
        <v>4279</v>
      </c>
      <c r="J373" s="647">
        <v>1493996</v>
      </c>
      <c r="K373" s="647" t="s">
        <v>5551</v>
      </c>
      <c r="L373" s="647" t="s">
        <v>5552</v>
      </c>
      <c r="M373" s="647" t="s">
        <v>4078</v>
      </c>
      <c r="N373" s="648">
        <v>40294</v>
      </c>
    </row>
    <row r="374" spans="1:14" x14ac:dyDescent="0.35">
      <c r="A374" s="647">
        <v>2751</v>
      </c>
      <c r="B374" s="647" t="s">
        <v>5553</v>
      </c>
      <c r="C374" s="649"/>
      <c r="D374" s="649"/>
      <c r="E374" s="649"/>
      <c r="F374" s="649"/>
      <c r="G374" s="649"/>
      <c r="H374" s="649"/>
      <c r="I374" s="649"/>
      <c r="J374" s="647">
        <v>536196</v>
      </c>
      <c r="K374" s="649"/>
      <c r="L374" s="649"/>
      <c r="M374" s="649"/>
      <c r="N374" s="648" t="e">
        <v>#N/A</v>
      </c>
    </row>
    <row r="375" spans="1:14" x14ac:dyDescent="0.35">
      <c r="A375" s="647">
        <v>2753</v>
      </c>
      <c r="B375" s="647" t="s">
        <v>5554</v>
      </c>
      <c r="C375" s="647" t="s">
        <v>5555</v>
      </c>
      <c r="D375" s="647" t="s">
        <v>2726</v>
      </c>
      <c r="E375" s="647" t="s">
        <v>2707</v>
      </c>
      <c r="F375" s="647">
        <v>1420</v>
      </c>
      <c r="G375" s="647" t="s">
        <v>5556</v>
      </c>
      <c r="H375" s="647" t="s">
        <v>4247</v>
      </c>
      <c r="I375" s="647" t="s">
        <v>4279</v>
      </c>
      <c r="J375" s="647">
        <v>2053007</v>
      </c>
      <c r="K375" s="647" t="s">
        <v>3840</v>
      </c>
      <c r="L375" s="647" t="s">
        <v>5557</v>
      </c>
      <c r="M375" s="647" t="s">
        <v>3826</v>
      </c>
      <c r="N375" s="648">
        <v>40178</v>
      </c>
    </row>
    <row r="376" spans="1:14" x14ac:dyDescent="0.35">
      <c r="A376" s="647">
        <v>2761</v>
      </c>
      <c r="B376" s="647" t="s">
        <v>5558</v>
      </c>
      <c r="C376" s="647" t="s">
        <v>5559</v>
      </c>
      <c r="D376" s="647" t="s">
        <v>2728</v>
      </c>
      <c r="E376" s="647" t="s">
        <v>2707</v>
      </c>
      <c r="F376" s="647">
        <v>1301</v>
      </c>
      <c r="G376" s="647" t="s">
        <v>5560</v>
      </c>
      <c r="H376" s="647" t="s">
        <v>4247</v>
      </c>
      <c r="I376" s="647" t="s">
        <v>4083</v>
      </c>
      <c r="J376" s="647">
        <v>2630537</v>
      </c>
      <c r="K376" s="647" t="s">
        <v>3885</v>
      </c>
      <c r="L376" s="647" t="s">
        <v>5561</v>
      </c>
      <c r="M376" s="647" t="s">
        <v>4078</v>
      </c>
      <c r="N376" s="648" t="e">
        <v>#N/A</v>
      </c>
    </row>
    <row r="377" spans="1:14" x14ac:dyDescent="0.35">
      <c r="A377" s="647">
        <v>2769</v>
      </c>
      <c r="B377" s="647" t="s">
        <v>5562</v>
      </c>
      <c r="C377" s="647" t="s">
        <v>5563</v>
      </c>
      <c r="D377" s="647" t="s">
        <v>2730</v>
      </c>
      <c r="E377" s="647" t="s">
        <v>2707</v>
      </c>
      <c r="F377" s="647">
        <v>1040</v>
      </c>
      <c r="G377" s="647" t="s">
        <v>5564</v>
      </c>
      <c r="H377" s="647" t="s">
        <v>4247</v>
      </c>
      <c r="I377" s="647" t="s">
        <v>5565</v>
      </c>
      <c r="J377" s="647">
        <v>2581394</v>
      </c>
      <c r="K377" s="647" t="s">
        <v>4940</v>
      </c>
      <c r="L377" s="647" t="s">
        <v>5566</v>
      </c>
      <c r="M377" s="647" t="s">
        <v>3952</v>
      </c>
      <c r="N377" s="648" t="e">
        <v>#N/A</v>
      </c>
    </row>
    <row r="378" spans="1:14" x14ac:dyDescent="0.35">
      <c r="A378" s="647">
        <v>2773</v>
      </c>
      <c r="B378" s="647" t="s">
        <v>5567</v>
      </c>
      <c r="C378" s="647" t="s">
        <v>5568</v>
      </c>
      <c r="D378" s="647" t="s">
        <v>2732</v>
      </c>
      <c r="E378" s="647" t="s">
        <v>2707</v>
      </c>
      <c r="F378" s="647">
        <v>1843</v>
      </c>
      <c r="G378" s="647" t="s">
        <v>5569</v>
      </c>
      <c r="H378" s="647" t="s">
        <v>4247</v>
      </c>
      <c r="I378" s="647" t="s">
        <v>4264</v>
      </c>
      <c r="J378" s="647">
        <v>10986227</v>
      </c>
      <c r="K378" s="647" t="s">
        <v>5301</v>
      </c>
      <c r="L378" s="647" t="s">
        <v>5570</v>
      </c>
      <c r="M378" s="647" t="s">
        <v>3826</v>
      </c>
      <c r="N378" s="648">
        <v>40269</v>
      </c>
    </row>
    <row r="379" spans="1:14" x14ac:dyDescent="0.35">
      <c r="A379" s="647">
        <v>2777</v>
      </c>
      <c r="B379" s="647" t="s">
        <v>5571</v>
      </c>
      <c r="C379" s="647" t="s">
        <v>5572</v>
      </c>
      <c r="D379" s="647" t="s">
        <v>2734</v>
      </c>
      <c r="E379" s="647" t="s">
        <v>2707</v>
      </c>
      <c r="F379" s="647">
        <v>1852</v>
      </c>
      <c r="G379" s="647" t="s">
        <v>5573</v>
      </c>
      <c r="H379" s="647" t="s">
        <v>4247</v>
      </c>
      <c r="I379" s="647" t="s">
        <v>4264</v>
      </c>
      <c r="J379" s="647">
        <v>3286885</v>
      </c>
      <c r="K379" s="647" t="s">
        <v>4573</v>
      </c>
      <c r="L379" s="647" t="s">
        <v>5574</v>
      </c>
      <c r="M379" s="647" t="s">
        <v>5064</v>
      </c>
      <c r="N379" s="648">
        <v>40391</v>
      </c>
    </row>
    <row r="380" spans="1:14" x14ac:dyDescent="0.35">
      <c r="A380" s="647">
        <v>2781</v>
      </c>
      <c r="B380" s="647" t="s">
        <v>5575</v>
      </c>
      <c r="C380" s="647" t="s">
        <v>5576</v>
      </c>
      <c r="D380" s="647" t="s">
        <v>2736</v>
      </c>
      <c r="E380" s="647" t="s">
        <v>2707</v>
      </c>
      <c r="F380" s="647">
        <v>1902</v>
      </c>
      <c r="G380" s="647" t="s">
        <v>5577</v>
      </c>
      <c r="H380" s="647" t="s">
        <v>4247</v>
      </c>
      <c r="I380" s="647" t="s">
        <v>4279</v>
      </c>
      <c r="J380" s="647">
        <v>7942918</v>
      </c>
      <c r="K380" s="647" t="s">
        <v>5033</v>
      </c>
      <c r="L380" s="647" t="s">
        <v>5578</v>
      </c>
      <c r="M380" s="647" t="s">
        <v>4078</v>
      </c>
      <c r="N380" s="648">
        <v>40360</v>
      </c>
    </row>
    <row r="381" spans="1:14" x14ac:dyDescent="0.35">
      <c r="A381" s="647">
        <v>2793</v>
      </c>
      <c r="B381" s="647" t="s">
        <v>5579</v>
      </c>
      <c r="C381" s="647" t="s">
        <v>5580</v>
      </c>
      <c r="D381" s="647" t="s">
        <v>2738</v>
      </c>
      <c r="E381" s="647" t="s">
        <v>2707</v>
      </c>
      <c r="F381" s="647">
        <v>2148</v>
      </c>
      <c r="G381" s="647" t="s">
        <v>5581</v>
      </c>
      <c r="H381" s="647" t="s">
        <v>4247</v>
      </c>
      <c r="I381" s="647" t="s">
        <v>5582</v>
      </c>
      <c r="J381" s="647">
        <v>3898099</v>
      </c>
      <c r="K381" s="647" t="s">
        <v>4558</v>
      </c>
      <c r="L381" s="647" t="s">
        <v>5583</v>
      </c>
      <c r="M381" s="647" t="s">
        <v>3826</v>
      </c>
      <c r="N381" s="648" t="e">
        <v>#N/A</v>
      </c>
    </row>
    <row r="382" spans="1:14" x14ac:dyDescent="0.35">
      <c r="A382" s="647">
        <v>2805</v>
      </c>
      <c r="B382" s="647" t="s">
        <v>5584</v>
      </c>
      <c r="C382" s="647" t="s">
        <v>5585</v>
      </c>
      <c r="D382" s="647" t="s">
        <v>2740</v>
      </c>
      <c r="E382" s="647" t="s">
        <v>2707</v>
      </c>
      <c r="F382" s="647">
        <v>2176</v>
      </c>
      <c r="G382" s="647" t="s">
        <v>5586</v>
      </c>
      <c r="H382" s="647" t="s">
        <v>4247</v>
      </c>
      <c r="I382" s="647" t="s">
        <v>4264</v>
      </c>
      <c r="J382" s="647">
        <v>5917522</v>
      </c>
      <c r="K382" s="647" t="s">
        <v>4844</v>
      </c>
      <c r="L382" s="647" t="s">
        <v>5587</v>
      </c>
      <c r="M382" s="647" t="s">
        <v>4352</v>
      </c>
      <c r="N382" s="648">
        <v>40452</v>
      </c>
    </row>
    <row r="383" spans="1:14" x14ac:dyDescent="0.35">
      <c r="A383" s="647">
        <v>2817</v>
      </c>
      <c r="B383" s="647" t="s">
        <v>5588</v>
      </c>
      <c r="C383" s="647" t="s">
        <v>5589</v>
      </c>
      <c r="D383" s="647" t="s">
        <v>2742</v>
      </c>
      <c r="E383" s="647" t="s">
        <v>2707</v>
      </c>
      <c r="F383" s="647">
        <v>47006</v>
      </c>
      <c r="G383" s="647" t="s">
        <v>5590</v>
      </c>
      <c r="H383" s="647" t="s">
        <v>4247</v>
      </c>
      <c r="I383" s="647" t="s">
        <v>4253</v>
      </c>
      <c r="J383" s="647">
        <v>8263305</v>
      </c>
      <c r="K383" s="647" t="s">
        <v>4628</v>
      </c>
      <c r="L383" s="647" t="s">
        <v>5591</v>
      </c>
      <c r="M383" s="647" t="s">
        <v>5592</v>
      </c>
      <c r="N383" s="648">
        <v>40299</v>
      </c>
    </row>
    <row r="384" spans="1:14" x14ac:dyDescent="0.35">
      <c r="A384" s="647">
        <v>2825</v>
      </c>
      <c r="B384" s="647" t="s">
        <v>5593</v>
      </c>
      <c r="C384" s="647" t="s">
        <v>5594</v>
      </c>
      <c r="D384" s="647" t="s">
        <v>2569</v>
      </c>
      <c r="E384" s="647" t="s">
        <v>2707</v>
      </c>
      <c r="F384" s="647">
        <v>98277</v>
      </c>
      <c r="G384" s="647" t="s">
        <v>5595</v>
      </c>
      <c r="H384" s="649"/>
      <c r="I384" s="649"/>
      <c r="J384" s="647">
        <v>6386030</v>
      </c>
      <c r="K384" s="647" t="s">
        <v>5596</v>
      </c>
      <c r="L384" s="647" t="s">
        <v>5557</v>
      </c>
      <c r="M384" s="647" t="s">
        <v>3826</v>
      </c>
      <c r="N384" s="648" t="e">
        <v>#N/A</v>
      </c>
    </row>
    <row r="385" spans="1:14" x14ac:dyDescent="0.35">
      <c r="A385" s="647">
        <v>2829</v>
      </c>
      <c r="B385" s="647" t="s">
        <v>5597</v>
      </c>
      <c r="C385" s="647" t="s">
        <v>5598</v>
      </c>
      <c r="D385" s="647" t="s">
        <v>2745</v>
      </c>
      <c r="E385" s="647" t="s">
        <v>2707</v>
      </c>
      <c r="F385" s="647">
        <v>1247</v>
      </c>
      <c r="G385" s="647" t="s">
        <v>5599</v>
      </c>
      <c r="H385" s="647" t="s">
        <v>4247</v>
      </c>
      <c r="I385" s="647" t="s">
        <v>4279</v>
      </c>
      <c r="J385" s="647">
        <v>1334866</v>
      </c>
      <c r="K385" s="647" t="s">
        <v>4399</v>
      </c>
      <c r="L385" s="647" t="s">
        <v>4177</v>
      </c>
      <c r="M385" s="647" t="s">
        <v>4078</v>
      </c>
      <c r="N385" s="648">
        <v>40374</v>
      </c>
    </row>
    <row r="386" spans="1:14" x14ac:dyDescent="0.35">
      <c r="A386" s="647">
        <v>2833</v>
      </c>
      <c r="B386" s="647" t="s">
        <v>5600</v>
      </c>
      <c r="C386" s="647" t="s">
        <v>5601</v>
      </c>
      <c r="D386" s="647" t="s">
        <v>2747</v>
      </c>
      <c r="E386" s="647" t="s">
        <v>2707</v>
      </c>
      <c r="F386" s="647">
        <v>1060</v>
      </c>
      <c r="G386" s="647" t="s">
        <v>5602</v>
      </c>
      <c r="H386" s="647" t="s">
        <v>4247</v>
      </c>
      <c r="I386" s="647" t="s">
        <v>4253</v>
      </c>
      <c r="J386" s="647">
        <v>2823977</v>
      </c>
      <c r="K386" s="647" t="s">
        <v>4503</v>
      </c>
      <c r="L386" s="647" t="s">
        <v>5603</v>
      </c>
      <c r="M386" s="647" t="s">
        <v>3826</v>
      </c>
      <c r="N386" s="648" t="e">
        <v>#N/A</v>
      </c>
    </row>
    <row r="387" spans="1:14" x14ac:dyDescent="0.35">
      <c r="A387" s="647">
        <v>2837</v>
      </c>
      <c r="B387" s="647" t="s">
        <v>5604</v>
      </c>
      <c r="C387" s="647" t="s">
        <v>5605</v>
      </c>
      <c r="D387" s="647" t="s">
        <v>2749</v>
      </c>
      <c r="E387" s="647" t="s">
        <v>2707</v>
      </c>
      <c r="F387" s="647">
        <v>2760</v>
      </c>
      <c r="G387" s="647" t="s">
        <v>5606</v>
      </c>
      <c r="H387" s="647" t="s">
        <v>4247</v>
      </c>
      <c r="I387" s="647" t="s">
        <v>4279</v>
      </c>
      <c r="J387" s="647">
        <v>15817908</v>
      </c>
      <c r="K387" s="647" t="s">
        <v>4940</v>
      </c>
      <c r="L387" s="647" t="s">
        <v>5607</v>
      </c>
      <c r="M387" s="647" t="s">
        <v>3826</v>
      </c>
      <c r="N387" s="648">
        <v>40360</v>
      </c>
    </row>
    <row r="388" spans="1:14" x14ac:dyDescent="0.35">
      <c r="A388" s="647">
        <v>2841</v>
      </c>
      <c r="B388" s="647" t="s">
        <v>5608</v>
      </c>
      <c r="C388" s="647" t="s">
        <v>5609</v>
      </c>
      <c r="D388" s="647" t="s">
        <v>2751</v>
      </c>
      <c r="E388" s="647" t="s">
        <v>2707</v>
      </c>
      <c r="F388" s="647">
        <v>1201</v>
      </c>
      <c r="G388" s="647" t="s">
        <v>5610</v>
      </c>
      <c r="H388" s="647" t="s">
        <v>4247</v>
      </c>
      <c r="I388" s="647" t="s">
        <v>4279</v>
      </c>
      <c r="J388" s="647">
        <v>1921439</v>
      </c>
      <c r="K388" s="647" t="s">
        <v>4563</v>
      </c>
      <c r="L388" s="647" t="s">
        <v>5611</v>
      </c>
      <c r="M388" s="647" t="s">
        <v>3826</v>
      </c>
      <c r="N388" s="648">
        <v>40268</v>
      </c>
    </row>
    <row r="389" spans="1:14" x14ac:dyDescent="0.35">
      <c r="A389" s="647">
        <v>2849</v>
      </c>
      <c r="B389" s="647" t="s">
        <v>5612</v>
      </c>
      <c r="C389" s="647" t="s">
        <v>5613</v>
      </c>
      <c r="D389" s="647" t="s">
        <v>2420</v>
      </c>
      <c r="E389" s="647" t="s">
        <v>2707</v>
      </c>
      <c r="F389" s="647">
        <v>2740</v>
      </c>
      <c r="G389" s="647" t="s">
        <v>5614</v>
      </c>
      <c r="H389" s="647" t="s">
        <v>4247</v>
      </c>
      <c r="I389" s="647" t="s">
        <v>4264</v>
      </c>
      <c r="J389" s="647">
        <v>19704555</v>
      </c>
      <c r="K389" s="647" t="s">
        <v>5615</v>
      </c>
      <c r="L389" s="647" t="s">
        <v>5616</v>
      </c>
      <c r="M389" s="647" t="s">
        <v>3826</v>
      </c>
      <c r="N389" s="648">
        <v>40422</v>
      </c>
    </row>
    <row r="390" spans="1:14" x14ac:dyDescent="0.35">
      <c r="A390" s="647">
        <v>2857</v>
      </c>
      <c r="B390" s="647" t="s">
        <v>5617</v>
      </c>
      <c r="C390" s="647" t="s">
        <v>5618</v>
      </c>
      <c r="D390" s="647" t="s">
        <v>2754</v>
      </c>
      <c r="E390" s="647" t="s">
        <v>2707</v>
      </c>
      <c r="F390" s="647">
        <v>1701</v>
      </c>
      <c r="G390" s="647" t="s">
        <v>5619</v>
      </c>
      <c r="H390" s="647" t="s">
        <v>4247</v>
      </c>
      <c r="I390" s="647" t="s">
        <v>4279</v>
      </c>
      <c r="J390" s="647">
        <v>6734724</v>
      </c>
      <c r="K390" s="647" t="s">
        <v>5620</v>
      </c>
      <c r="L390" s="647" t="s">
        <v>5621</v>
      </c>
      <c r="M390" s="647" t="s">
        <v>3826</v>
      </c>
      <c r="N390" s="648">
        <v>40330</v>
      </c>
    </row>
    <row r="391" spans="1:14" x14ac:dyDescent="0.35">
      <c r="A391" s="647">
        <v>2861</v>
      </c>
      <c r="B391" s="647" t="s">
        <v>5622</v>
      </c>
      <c r="C391" s="647" t="s">
        <v>5623</v>
      </c>
      <c r="D391" s="647" t="s">
        <v>2756</v>
      </c>
      <c r="E391" s="647" t="s">
        <v>2707</v>
      </c>
      <c r="F391" s="647">
        <v>1915</v>
      </c>
      <c r="G391" s="647" t="s">
        <v>5624</v>
      </c>
      <c r="H391" s="647" t="s">
        <v>4247</v>
      </c>
      <c r="I391" s="647" t="s">
        <v>4253</v>
      </c>
      <c r="J391" s="647">
        <v>23734241</v>
      </c>
      <c r="K391" s="647" t="s">
        <v>5241</v>
      </c>
      <c r="L391" s="647" t="s">
        <v>5625</v>
      </c>
      <c r="M391" s="647" t="s">
        <v>3826</v>
      </c>
      <c r="N391" s="648">
        <v>40176</v>
      </c>
    </row>
    <row r="392" spans="1:14" x14ac:dyDescent="0.35">
      <c r="A392" s="647">
        <v>2865</v>
      </c>
      <c r="B392" s="647" t="s">
        <v>5626</v>
      </c>
      <c r="C392" s="647" t="s">
        <v>5627</v>
      </c>
      <c r="D392" s="647" t="s">
        <v>2758</v>
      </c>
      <c r="E392" s="647" t="s">
        <v>2707</v>
      </c>
      <c r="F392" s="647">
        <v>2143</v>
      </c>
      <c r="G392" s="647" t="s">
        <v>5628</v>
      </c>
      <c r="H392" s="647" t="s">
        <v>4247</v>
      </c>
      <c r="I392" s="647" t="s">
        <v>4253</v>
      </c>
      <c r="J392" s="647">
        <v>1841211</v>
      </c>
      <c r="K392" s="647" t="s">
        <v>4052</v>
      </c>
      <c r="L392" s="647" t="s">
        <v>5629</v>
      </c>
      <c r="M392" s="647" t="s">
        <v>4078</v>
      </c>
      <c r="N392" s="648">
        <v>40235</v>
      </c>
    </row>
    <row r="393" spans="1:14" x14ac:dyDescent="0.35">
      <c r="A393" s="647">
        <v>2869</v>
      </c>
      <c r="B393" s="647" t="s">
        <v>5630</v>
      </c>
      <c r="C393" s="647" t="s">
        <v>5631</v>
      </c>
      <c r="D393" s="647" t="s">
        <v>2760</v>
      </c>
      <c r="E393" s="647" t="s">
        <v>2707</v>
      </c>
      <c r="F393" s="647">
        <v>65065</v>
      </c>
      <c r="G393" s="647" t="s">
        <v>5632</v>
      </c>
      <c r="H393" s="647" t="s">
        <v>4247</v>
      </c>
      <c r="I393" s="647" t="s">
        <v>4253</v>
      </c>
      <c r="J393" s="647">
        <v>3506143</v>
      </c>
      <c r="K393" s="647" t="s">
        <v>4508</v>
      </c>
      <c r="L393" s="647" t="s">
        <v>5633</v>
      </c>
      <c r="M393" s="647" t="s">
        <v>4078</v>
      </c>
      <c r="N393" s="648" t="e">
        <v>#N/A</v>
      </c>
    </row>
    <row r="394" spans="1:14" x14ac:dyDescent="0.35">
      <c r="A394" s="647">
        <v>2885</v>
      </c>
      <c r="B394" s="647" t="s">
        <v>5634</v>
      </c>
      <c r="C394" s="647" t="s">
        <v>5635</v>
      </c>
      <c r="D394" s="647" t="s">
        <v>2424</v>
      </c>
      <c r="E394" s="647" t="s">
        <v>2707</v>
      </c>
      <c r="F394" s="647">
        <v>1104</v>
      </c>
      <c r="G394" s="647" t="s">
        <v>5636</v>
      </c>
      <c r="H394" s="649"/>
      <c r="I394" s="649"/>
      <c r="J394" s="647">
        <v>10704318</v>
      </c>
      <c r="K394" s="647" t="s">
        <v>5085</v>
      </c>
      <c r="L394" s="647" t="s">
        <v>5637</v>
      </c>
      <c r="M394" s="647" t="s">
        <v>3826</v>
      </c>
      <c r="N394" s="648" t="e">
        <v>#N/A</v>
      </c>
    </row>
    <row r="395" spans="1:14" x14ac:dyDescent="0.35">
      <c r="A395" s="647">
        <v>2901</v>
      </c>
      <c r="B395" s="647" t="s">
        <v>5638</v>
      </c>
      <c r="C395" s="647" t="s">
        <v>5639</v>
      </c>
      <c r="D395" s="647" t="s">
        <v>2763</v>
      </c>
      <c r="E395" s="647" t="s">
        <v>2707</v>
      </c>
      <c r="F395" s="647">
        <v>1085</v>
      </c>
      <c r="G395" s="647" t="s">
        <v>5640</v>
      </c>
      <c r="H395" s="649"/>
      <c r="I395" s="649"/>
      <c r="J395" s="647">
        <v>2705868</v>
      </c>
      <c r="K395" s="647" t="s">
        <v>5641</v>
      </c>
      <c r="L395" s="647" t="s">
        <v>5642</v>
      </c>
      <c r="M395" s="647" t="s">
        <v>3826</v>
      </c>
      <c r="N395" s="648" t="e">
        <v>#N/A</v>
      </c>
    </row>
    <row r="396" spans="1:14" x14ac:dyDescent="0.35">
      <c r="A396" s="647">
        <v>2909</v>
      </c>
      <c r="B396" s="647" t="s">
        <v>5643</v>
      </c>
      <c r="C396" s="647" t="s">
        <v>5644</v>
      </c>
      <c r="D396" s="647" t="s">
        <v>2765</v>
      </c>
      <c r="E396" s="647" t="s">
        <v>2707</v>
      </c>
      <c r="F396" s="647">
        <v>1610</v>
      </c>
      <c r="G396" s="647" t="s">
        <v>5645</v>
      </c>
      <c r="H396" s="647" t="s">
        <v>4247</v>
      </c>
      <c r="I396" s="647" t="s">
        <v>4253</v>
      </c>
      <c r="J396" s="647">
        <v>15728112</v>
      </c>
      <c r="K396" s="647" t="s">
        <v>4134</v>
      </c>
      <c r="L396" s="647" t="s">
        <v>5646</v>
      </c>
      <c r="M396" s="647" t="s">
        <v>3826</v>
      </c>
      <c r="N396" s="648">
        <v>40405</v>
      </c>
    </row>
    <row r="397" spans="1:14" x14ac:dyDescent="0.35">
      <c r="A397" s="647">
        <v>2912</v>
      </c>
      <c r="B397" s="647" t="s">
        <v>5647</v>
      </c>
      <c r="C397" s="647" t="s">
        <v>5648</v>
      </c>
      <c r="D397" s="647" t="s">
        <v>5649</v>
      </c>
      <c r="E397" s="647" t="s">
        <v>2707</v>
      </c>
      <c r="F397" s="647">
        <v>1475</v>
      </c>
      <c r="G397" s="647" t="s">
        <v>5650</v>
      </c>
      <c r="H397" s="647" t="s">
        <v>4247</v>
      </c>
      <c r="I397" s="647" t="s">
        <v>4264</v>
      </c>
      <c r="J397" s="647"/>
      <c r="K397" s="647" t="s">
        <v>4044</v>
      </c>
      <c r="L397" s="647" t="s">
        <v>4794</v>
      </c>
      <c r="M397" s="647" t="s">
        <v>4352</v>
      </c>
      <c r="N397" s="648">
        <v>40181</v>
      </c>
    </row>
    <row r="398" spans="1:14" x14ac:dyDescent="0.35">
      <c r="A398" s="647">
        <v>2923</v>
      </c>
      <c r="B398" s="647" t="s">
        <v>5651</v>
      </c>
      <c r="C398" s="647" t="s">
        <v>5652</v>
      </c>
      <c r="D398" s="647" t="s">
        <v>2767</v>
      </c>
      <c r="E398" s="647" t="s">
        <v>2768</v>
      </c>
      <c r="F398" s="647">
        <v>49622</v>
      </c>
      <c r="G398" s="647" t="s">
        <v>5653</v>
      </c>
      <c r="H398" s="647" t="s">
        <v>4688</v>
      </c>
      <c r="I398" s="647" t="s">
        <v>3937</v>
      </c>
      <c r="J398" s="647">
        <v>3122143</v>
      </c>
      <c r="K398" s="647" t="s">
        <v>5654</v>
      </c>
      <c r="L398" s="647" t="s">
        <v>5655</v>
      </c>
      <c r="M398" s="647" t="s">
        <v>4078</v>
      </c>
      <c r="N398" s="648">
        <v>40210</v>
      </c>
    </row>
    <row r="399" spans="1:14" x14ac:dyDescent="0.35">
      <c r="A399" s="647">
        <v>2929</v>
      </c>
      <c r="B399" s="647" t="s">
        <v>5656</v>
      </c>
      <c r="C399" s="647" t="s">
        <v>5657</v>
      </c>
      <c r="D399" s="647" t="s">
        <v>2770</v>
      </c>
      <c r="E399" s="647" t="s">
        <v>2768</v>
      </c>
      <c r="F399" s="647">
        <v>48103</v>
      </c>
      <c r="G399" s="647" t="s">
        <v>5658</v>
      </c>
      <c r="H399" s="647" t="s">
        <v>4688</v>
      </c>
      <c r="I399" s="647" t="s">
        <v>3925</v>
      </c>
      <c r="J399" s="647">
        <v>6733505</v>
      </c>
      <c r="K399" s="647" t="s">
        <v>5659</v>
      </c>
      <c r="L399" s="647" t="s">
        <v>5660</v>
      </c>
      <c r="M399" s="647" t="s">
        <v>3826</v>
      </c>
      <c r="N399" s="648">
        <v>40422</v>
      </c>
    </row>
    <row r="400" spans="1:14" x14ac:dyDescent="0.35">
      <c r="A400" s="647">
        <v>2933</v>
      </c>
      <c r="B400" s="647" t="s">
        <v>5661</v>
      </c>
      <c r="C400" s="647" t="s">
        <v>5662</v>
      </c>
      <c r="D400" s="647" t="s">
        <v>2772</v>
      </c>
      <c r="E400" s="647" t="s">
        <v>2768</v>
      </c>
      <c r="F400" s="647">
        <v>49058</v>
      </c>
      <c r="G400" s="647" t="s">
        <v>5663</v>
      </c>
      <c r="H400" s="647" t="s">
        <v>4688</v>
      </c>
      <c r="I400" s="647" t="s">
        <v>3925</v>
      </c>
      <c r="J400" s="647">
        <v>429043</v>
      </c>
      <c r="K400" s="647" t="s">
        <v>4540</v>
      </c>
      <c r="L400" s="647" t="s">
        <v>5664</v>
      </c>
      <c r="M400" s="647" t="s">
        <v>3826</v>
      </c>
      <c r="N400" s="648">
        <v>40178</v>
      </c>
    </row>
    <row r="401" spans="1:14" x14ac:dyDescent="0.35">
      <c r="A401" s="647">
        <v>2937</v>
      </c>
      <c r="B401" s="647" t="s">
        <v>5665</v>
      </c>
      <c r="C401" s="647" t="s">
        <v>5666</v>
      </c>
      <c r="D401" s="647" t="s">
        <v>2774</v>
      </c>
      <c r="E401" s="647" t="s">
        <v>2768</v>
      </c>
      <c r="F401" s="647">
        <v>49017</v>
      </c>
      <c r="G401" s="647" t="s">
        <v>5667</v>
      </c>
      <c r="H401" s="647" t="s">
        <v>4688</v>
      </c>
      <c r="I401" s="647" t="s">
        <v>3925</v>
      </c>
      <c r="J401" s="647">
        <v>2470842</v>
      </c>
      <c r="K401" s="647" t="s">
        <v>4777</v>
      </c>
      <c r="L401" s="647" t="s">
        <v>5668</v>
      </c>
      <c r="M401" s="647" t="s">
        <v>3826</v>
      </c>
      <c r="N401" s="648">
        <v>40299</v>
      </c>
    </row>
    <row r="402" spans="1:14" x14ac:dyDescent="0.35">
      <c r="A402" s="647">
        <v>2941</v>
      </c>
      <c r="B402" s="647" t="s">
        <v>5669</v>
      </c>
      <c r="C402" s="647" t="s">
        <v>5670</v>
      </c>
      <c r="D402" s="647" t="s">
        <v>2776</v>
      </c>
      <c r="E402" s="647" t="s">
        <v>2768</v>
      </c>
      <c r="F402" s="647">
        <v>48708</v>
      </c>
      <c r="G402" s="647" t="s">
        <v>5671</v>
      </c>
      <c r="H402" s="647" t="s">
        <v>4688</v>
      </c>
      <c r="I402" s="647" t="s">
        <v>3925</v>
      </c>
      <c r="J402" s="647">
        <v>1316666</v>
      </c>
      <c r="K402" s="647" t="s">
        <v>5672</v>
      </c>
      <c r="L402" s="647" t="s">
        <v>4855</v>
      </c>
      <c r="M402" s="647" t="s">
        <v>3826</v>
      </c>
      <c r="N402" s="648">
        <v>40405</v>
      </c>
    </row>
    <row r="403" spans="1:14" x14ac:dyDescent="0.35">
      <c r="A403" s="647">
        <v>2945</v>
      </c>
      <c r="B403" s="647" t="s">
        <v>5673</v>
      </c>
      <c r="C403" s="647" t="s">
        <v>5674</v>
      </c>
      <c r="D403" s="647" t="s">
        <v>2778</v>
      </c>
      <c r="E403" s="647" t="s">
        <v>2768</v>
      </c>
      <c r="F403" s="647">
        <v>49085</v>
      </c>
      <c r="G403" s="647" t="s">
        <v>5675</v>
      </c>
      <c r="H403" s="649"/>
      <c r="I403" s="649"/>
      <c r="J403" s="647">
        <v>2001479</v>
      </c>
      <c r="K403" s="647" t="s">
        <v>4044</v>
      </c>
      <c r="L403" s="647" t="s">
        <v>5676</v>
      </c>
      <c r="M403" s="647" t="s">
        <v>3826</v>
      </c>
      <c r="N403" s="648" t="e">
        <v>#N/A</v>
      </c>
    </row>
    <row r="404" spans="1:14" x14ac:dyDescent="0.35">
      <c r="A404" s="647">
        <v>2953</v>
      </c>
      <c r="B404" s="647" t="s">
        <v>5677</v>
      </c>
      <c r="C404" s="647" t="s">
        <v>5678</v>
      </c>
      <c r="D404" s="647" t="s">
        <v>2780</v>
      </c>
      <c r="E404" s="647" t="s">
        <v>2768</v>
      </c>
      <c r="F404" s="647">
        <v>48213</v>
      </c>
      <c r="G404" s="647" t="s">
        <v>5679</v>
      </c>
      <c r="H404" s="647" t="s">
        <v>4688</v>
      </c>
      <c r="I404" s="647" t="s">
        <v>3925</v>
      </c>
      <c r="J404" s="647">
        <v>36471740</v>
      </c>
      <c r="K404" s="647" t="s">
        <v>5680</v>
      </c>
      <c r="L404" s="647" t="s">
        <v>5681</v>
      </c>
      <c r="M404" s="647" t="s">
        <v>3826</v>
      </c>
      <c r="N404" s="648">
        <v>40332</v>
      </c>
    </row>
    <row r="405" spans="1:14" x14ac:dyDescent="0.35">
      <c r="A405" s="647">
        <v>3012</v>
      </c>
      <c r="B405" s="647" t="s">
        <v>5682</v>
      </c>
      <c r="C405" s="647" t="s">
        <v>5683</v>
      </c>
      <c r="D405" s="647" t="s">
        <v>2782</v>
      </c>
      <c r="E405" s="647" t="s">
        <v>2768</v>
      </c>
      <c r="F405" s="647">
        <v>49829</v>
      </c>
      <c r="G405" s="647" t="s">
        <v>5684</v>
      </c>
      <c r="H405" s="649"/>
      <c r="I405" s="649"/>
      <c r="J405" s="647">
        <v>1076135</v>
      </c>
      <c r="K405" s="647" t="s">
        <v>4628</v>
      </c>
      <c r="L405" s="647" t="s">
        <v>5685</v>
      </c>
      <c r="M405" s="647" t="s">
        <v>3826</v>
      </c>
      <c r="N405" s="648" t="e">
        <v>#N/A</v>
      </c>
    </row>
    <row r="406" spans="1:14" x14ac:dyDescent="0.35">
      <c r="A406" s="647">
        <v>3017</v>
      </c>
      <c r="B406" s="647" t="s">
        <v>5686</v>
      </c>
      <c r="C406" s="647" t="s">
        <v>5687</v>
      </c>
      <c r="D406" s="647" t="s">
        <v>2784</v>
      </c>
      <c r="E406" s="647" t="s">
        <v>2768</v>
      </c>
      <c r="F406" s="647">
        <v>48503</v>
      </c>
      <c r="G406" s="647" t="s">
        <v>5688</v>
      </c>
      <c r="H406" s="647" t="s">
        <v>4688</v>
      </c>
      <c r="I406" s="647" t="s">
        <v>3937</v>
      </c>
      <c r="J406" s="647">
        <v>5673058</v>
      </c>
      <c r="K406" s="647" t="s">
        <v>5689</v>
      </c>
      <c r="L406" s="647" t="s">
        <v>5690</v>
      </c>
      <c r="M406" s="647" t="s">
        <v>3826</v>
      </c>
      <c r="N406" s="648">
        <v>40308</v>
      </c>
    </row>
    <row r="407" spans="1:14" x14ac:dyDescent="0.35">
      <c r="A407" s="647">
        <v>3019</v>
      </c>
      <c r="B407" s="647" t="s">
        <v>5691</v>
      </c>
      <c r="C407" s="647" t="s">
        <v>5692</v>
      </c>
      <c r="D407" s="647" t="s">
        <v>2786</v>
      </c>
      <c r="E407" s="647" t="s">
        <v>2768</v>
      </c>
      <c r="F407" s="647">
        <v>49504</v>
      </c>
      <c r="G407" s="647" t="s">
        <v>5693</v>
      </c>
      <c r="H407" s="647" t="s">
        <v>4688</v>
      </c>
      <c r="I407" s="647" t="s">
        <v>3925</v>
      </c>
      <c r="J407" s="647">
        <v>20740390</v>
      </c>
      <c r="K407" s="647" t="s">
        <v>5694</v>
      </c>
      <c r="L407" s="647" t="s">
        <v>4700</v>
      </c>
      <c r="M407" s="647" t="s">
        <v>3826</v>
      </c>
      <c r="N407" s="648">
        <v>40329</v>
      </c>
    </row>
    <row r="408" spans="1:14" x14ac:dyDescent="0.35">
      <c r="A408" s="647">
        <v>3023</v>
      </c>
      <c r="B408" s="647" t="s">
        <v>5695</v>
      </c>
      <c r="C408" s="647" t="s">
        <v>5696</v>
      </c>
      <c r="D408" s="647" t="s">
        <v>2788</v>
      </c>
      <c r="E408" s="647" t="s">
        <v>2768</v>
      </c>
      <c r="F408" s="647">
        <v>49601</v>
      </c>
      <c r="G408" s="647" t="s">
        <v>5697</v>
      </c>
      <c r="H408" s="647" t="s">
        <v>4688</v>
      </c>
      <c r="I408" s="647" t="s">
        <v>3925</v>
      </c>
      <c r="J408" s="647">
        <v>191046</v>
      </c>
      <c r="K408" s="647" t="s">
        <v>3912</v>
      </c>
      <c r="L408" s="647" t="s">
        <v>5698</v>
      </c>
      <c r="M408" s="647" t="s">
        <v>3826</v>
      </c>
      <c r="N408" s="648">
        <v>40405</v>
      </c>
    </row>
    <row r="409" spans="1:14" x14ac:dyDescent="0.35">
      <c r="A409" s="647">
        <v>3037</v>
      </c>
      <c r="B409" s="647" t="s">
        <v>5699</v>
      </c>
      <c r="C409" s="647" t="s">
        <v>5700</v>
      </c>
      <c r="D409" s="647" t="s">
        <v>2790</v>
      </c>
      <c r="E409" s="647" t="s">
        <v>2768</v>
      </c>
      <c r="F409" s="647">
        <v>49684</v>
      </c>
      <c r="G409" s="647" t="s">
        <v>5701</v>
      </c>
      <c r="H409" s="647" t="s">
        <v>4688</v>
      </c>
      <c r="I409" s="647" t="s">
        <v>4279</v>
      </c>
      <c r="J409" s="647">
        <v>1497666</v>
      </c>
      <c r="K409" s="647" t="s">
        <v>4488</v>
      </c>
      <c r="L409" s="647" t="s">
        <v>5702</v>
      </c>
      <c r="M409" s="647" t="s">
        <v>3826</v>
      </c>
      <c r="N409" s="648" t="e">
        <v>#N/A</v>
      </c>
    </row>
    <row r="410" spans="1:14" x14ac:dyDescent="0.35">
      <c r="A410" s="647">
        <v>3041</v>
      </c>
      <c r="B410" s="647" t="s">
        <v>5703</v>
      </c>
      <c r="C410" s="647" t="s">
        <v>5704</v>
      </c>
      <c r="D410" s="647" t="s">
        <v>2792</v>
      </c>
      <c r="E410" s="647" t="s">
        <v>2768</v>
      </c>
      <c r="F410" s="647">
        <v>49274</v>
      </c>
      <c r="G410" s="647" t="s">
        <v>5705</v>
      </c>
      <c r="H410" s="649"/>
      <c r="I410" s="649"/>
      <c r="J410" s="647">
        <v>530086</v>
      </c>
      <c r="K410" s="647" t="s">
        <v>5706</v>
      </c>
      <c r="L410" s="647" t="s">
        <v>5707</v>
      </c>
      <c r="M410" s="647" t="s">
        <v>3826</v>
      </c>
      <c r="N410" s="648" t="e">
        <v>#N/A</v>
      </c>
    </row>
    <row r="411" spans="1:14" x14ac:dyDescent="0.35">
      <c r="A411" s="647">
        <v>3050</v>
      </c>
      <c r="B411" s="647" t="s">
        <v>5708</v>
      </c>
      <c r="C411" s="647" t="s">
        <v>5709</v>
      </c>
      <c r="D411" s="647" t="s">
        <v>2794</v>
      </c>
      <c r="E411" s="647" t="s">
        <v>2768</v>
      </c>
      <c r="F411" s="647">
        <v>49855</v>
      </c>
      <c r="G411" s="647" t="s">
        <v>5710</v>
      </c>
      <c r="H411" s="647" t="s">
        <v>4688</v>
      </c>
      <c r="I411" s="647" t="s">
        <v>3925</v>
      </c>
      <c r="J411" s="647">
        <v>1182173</v>
      </c>
      <c r="K411" s="647" t="s">
        <v>4961</v>
      </c>
      <c r="L411" s="647" t="s">
        <v>5711</v>
      </c>
      <c r="M411" s="647" t="s">
        <v>3826</v>
      </c>
      <c r="N411" s="648">
        <v>40495</v>
      </c>
    </row>
    <row r="412" spans="1:14" x14ac:dyDescent="0.35">
      <c r="A412" s="647">
        <v>3053</v>
      </c>
      <c r="B412" s="647" t="s">
        <v>5712</v>
      </c>
      <c r="C412" s="647" t="s">
        <v>5713</v>
      </c>
      <c r="D412" s="647" t="s">
        <v>2796</v>
      </c>
      <c r="E412" s="647" t="s">
        <v>2768</v>
      </c>
      <c r="F412" s="647">
        <v>49201</v>
      </c>
      <c r="G412" s="647" t="s">
        <v>5714</v>
      </c>
      <c r="H412" s="647" t="s">
        <v>4688</v>
      </c>
      <c r="I412" s="647" t="s">
        <v>3925</v>
      </c>
      <c r="J412" s="647">
        <v>1933512</v>
      </c>
      <c r="K412" s="647" t="s">
        <v>5039</v>
      </c>
      <c r="L412" s="647" t="s">
        <v>5715</v>
      </c>
      <c r="M412" s="647" t="s">
        <v>3826</v>
      </c>
      <c r="N412" s="648">
        <v>40506</v>
      </c>
    </row>
    <row r="413" spans="1:14" x14ac:dyDescent="0.35">
      <c r="A413" s="647">
        <v>3057</v>
      </c>
      <c r="B413" s="647" t="s">
        <v>5716</v>
      </c>
      <c r="C413" s="647" t="s">
        <v>5717</v>
      </c>
      <c r="D413" s="647" t="s">
        <v>2798</v>
      </c>
      <c r="E413" s="647" t="s">
        <v>2768</v>
      </c>
      <c r="F413" s="647">
        <v>49008</v>
      </c>
      <c r="G413" s="647" t="s">
        <v>5718</v>
      </c>
      <c r="H413" s="647" t="s">
        <v>4688</v>
      </c>
      <c r="I413" s="647" t="s">
        <v>3925</v>
      </c>
      <c r="J413" s="647">
        <v>5305787</v>
      </c>
      <c r="K413" s="647" t="s">
        <v>5301</v>
      </c>
      <c r="L413" s="647" t="s">
        <v>5719</v>
      </c>
      <c r="M413" s="647" t="s">
        <v>3826</v>
      </c>
      <c r="N413" s="648">
        <v>40391</v>
      </c>
    </row>
    <row r="414" spans="1:14" x14ac:dyDescent="0.35">
      <c r="A414" s="647">
        <v>3065</v>
      </c>
      <c r="B414" s="647" t="s">
        <v>5720</v>
      </c>
      <c r="C414" s="647" t="s">
        <v>5721</v>
      </c>
      <c r="D414" s="647" t="s">
        <v>2800</v>
      </c>
      <c r="E414" s="647" t="s">
        <v>2768</v>
      </c>
      <c r="F414" s="647">
        <v>48933</v>
      </c>
      <c r="G414" s="647" t="s">
        <v>5722</v>
      </c>
      <c r="H414" s="647" t="s">
        <v>4688</v>
      </c>
      <c r="I414" s="647" t="s">
        <v>3925</v>
      </c>
      <c r="J414" s="647">
        <v>10782495</v>
      </c>
      <c r="K414" s="647" t="s">
        <v>4214</v>
      </c>
      <c r="L414" s="647" t="s">
        <v>5723</v>
      </c>
      <c r="M414" s="647" t="s">
        <v>3826</v>
      </c>
      <c r="N414" s="648">
        <v>40299</v>
      </c>
    </row>
    <row r="415" spans="1:14" x14ac:dyDescent="0.35">
      <c r="A415" s="647">
        <v>3073</v>
      </c>
      <c r="B415" s="647" t="s">
        <v>5724</v>
      </c>
      <c r="C415" s="647" t="s">
        <v>5725</v>
      </c>
      <c r="D415" s="647" t="s">
        <v>2802</v>
      </c>
      <c r="E415" s="647" t="s">
        <v>2768</v>
      </c>
      <c r="F415" s="647">
        <v>49221</v>
      </c>
      <c r="G415" s="647" t="s">
        <v>5726</v>
      </c>
      <c r="H415" s="647" t="s">
        <v>4688</v>
      </c>
      <c r="I415" s="647" t="s">
        <v>3925</v>
      </c>
      <c r="J415" s="647">
        <v>1522053</v>
      </c>
      <c r="K415" s="647" t="s">
        <v>3855</v>
      </c>
      <c r="L415" s="647" t="s">
        <v>5727</v>
      </c>
      <c r="M415" s="647" t="s">
        <v>4078</v>
      </c>
      <c r="N415" s="648">
        <v>40374</v>
      </c>
    </row>
    <row r="416" spans="1:14" x14ac:dyDescent="0.35">
      <c r="A416" s="647">
        <v>3085</v>
      </c>
      <c r="B416" s="647" t="s">
        <v>5728</v>
      </c>
      <c r="C416" s="647" t="s">
        <v>5729</v>
      </c>
      <c r="D416" s="647" t="s">
        <v>2648</v>
      </c>
      <c r="E416" s="647" t="s">
        <v>2768</v>
      </c>
      <c r="F416" s="647" t="s">
        <v>5730</v>
      </c>
      <c r="G416" s="647" t="s">
        <v>5731</v>
      </c>
      <c r="H416" s="647" t="s">
        <v>4688</v>
      </c>
      <c r="I416" s="647" t="s">
        <v>3925</v>
      </c>
      <c r="J416" s="647">
        <v>2032043</v>
      </c>
      <c r="K416" s="647" t="s">
        <v>5407</v>
      </c>
      <c r="L416" s="647" t="s">
        <v>5488</v>
      </c>
      <c r="M416" s="647" t="s">
        <v>3973</v>
      </c>
      <c r="N416" s="648">
        <v>40391</v>
      </c>
    </row>
    <row r="417" spans="1:14" x14ac:dyDescent="0.35">
      <c r="A417" s="647">
        <v>3089</v>
      </c>
      <c r="B417" s="647" t="s">
        <v>5732</v>
      </c>
      <c r="C417" s="647" t="s">
        <v>5733</v>
      </c>
      <c r="D417" s="647" t="s">
        <v>2805</v>
      </c>
      <c r="E417" s="647" t="s">
        <v>2768</v>
      </c>
      <c r="F417" s="647">
        <v>49441</v>
      </c>
      <c r="G417" s="647" t="s">
        <v>5734</v>
      </c>
      <c r="H417" s="647" t="s">
        <v>4688</v>
      </c>
      <c r="I417" s="647" t="s">
        <v>3937</v>
      </c>
      <c r="J417" s="647">
        <v>2307776</v>
      </c>
      <c r="K417" s="647" t="s">
        <v>5735</v>
      </c>
      <c r="L417" s="647" t="s">
        <v>5736</v>
      </c>
      <c r="M417" s="647" t="s">
        <v>3826</v>
      </c>
      <c r="N417" s="648">
        <v>40178</v>
      </c>
    </row>
    <row r="418" spans="1:14" x14ac:dyDescent="0.35">
      <c r="A418" s="647">
        <v>3093</v>
      </c>
      <c r="B418" s="647" t="s">
        <v>5737</v>
      </c>
      <c r="C418" s="647" t="s">
        <v>5738</v>
      </c>
      <c r="D418" s="647" t="s">
        <v>2807</v>
      </c>
      <c r="E418" s="647" t="s">
        <v>2768</v>
      </c>
      <c r="F418" s="647">
        <v>49120</v>
      </c>
      <c r="G418" s="647" t="s">
        <v>5739</v>
      </c>
      <c r="H418" s="647" t="s">
        <v>4688</v>
      </c>
      <c r="I418" s="647" t="s">
        <v>3925</v>
      </c>
      <c r="J418" s="647">
        <v>2000564</v>
      </c>
      <c r="K418" s="647" t="s">
        <v>5173</v>
      </c>
      <c r="L418" s="647" t="s">
        <v>5740</v>
      </c>
      <c r="M418" s="647" t="s">
        <v>3826</v>
      </c>
      <c r="N418" s="648">
        <v>40179</v>
      </c>
    </row>
    <row r="419" spans="1:14" x14ac:dyDescent="0.35">
      <c r="A419" s="647">
        <v>3097</v>
      </c>
      <c r="B419" s="647" t="s">
        <v>5741</v>
      </c>
      <c r="C419" s="647" t="s">
        <v>5742</v>
      </c>
      <c r="D419" s="647" t="s">
        <v>2809</v>
      </c>
      <c r="E419" s="647" t="s">
        <v>2768</v>
      </c>
      <c r="F419" s="647">
        <v>48867</v>
      </c>
      <c r="G419" s="647" t="s">
        <v>5743</v>
      </c>
      <c r="H419" s="647" t="s">
        <v>4688</v>
      </c>
      <c r="I419" s="647" t="s">
        <v>3925</v>
      </c>
      <c r="J419" s="647">
        <v>743634</v>
      </c>
      <c r="K419" s="647" t="s">
        <v>5744</v>
      </c>
      <c r="L419" s="647" t="s">
        <v>5745</v>
      </c>
      <c r="M419" s="647" t="s">
        <v>4078</v>
      </c>
      <c r="N419" s="648">
        <v>40193</v>
      </c>
    </row>
    <row r="420" spans="1:14" x14ac:dyDescent="0.35">
      <c r="A420" s="647">
        <v>3113</v>
      </c>
      <c r="B420" s="647" t="s">
        <v>5746</v>
      </c>
      <c r="C420" s="647" t="s">
        <v>5747</v>
      </c>
      <c r="D420" s="647" t="s">
        <v>2811</v>
      </c>
      <c r="E420" s="647" t="s">
        <v>2768</v>
      </c>
      <c r="F420" s="647">
        <v>48060</v>
      </c>
      <c r="G420" s="647" t="s">
        <v>5748</v>
      </c>
      <c r="H420" s="647" t="s">
        <v>4688</v>
      </c>
      <c r="I420" s="647" t="s">
        <v>3925</v>
      </c>
      <c r="J420" s="647">
        <v>2172292</v>
      </c>
      <c r="K420" s="647" t="s">
        <v>4270</v>
      </c>
      <c r="L420" s="647" t="s">
        <v>4855</v>
      </c>
      <c r="M420" s="647" t="s">
        <v>3826</v>
      </c>
      <c r="N420" s="648">
        <v>40360</v>
      </c>
    </row>
    <row r="421" spans="1:14" x14ac:dyDescent="0.35">
      <c r="A421" s="647">
        <v>3117</v>
      </c>
      <c r="B421" s="647" t="s">
        <v>5749</v>
      </c>
      <c r="C421" s="647" t="s">
        <v>5750</v>
      </c>
      <c r="D421" s="647" t="s">
        <v>2813</v>
      </c>
      <c r="E421" s="647" t="s">
        <v>2768</v>
      </c>
      <c r="F421" s="647">
        <v>48601</v>
      </c>
      <c r="G421" s="647" t="s">
        <v>5751</v>
      </c>
      <c r="H421" s="647" t="s">
        <v>4688</v>
      </c>
      <c r="I421" s="647" t="s">
        <v>3925</v>
      </c>
      <c r="J421" s="647">
        <v>2691358</v>
      </c>
      <c r="K421" s="647" t="s">
        <v>4030</v>
      </c>
      <c r="L421" s="647" t="s">
        <v>5752</v>
      </c>
      <c r="M421" s="647" t="s">
        <v>4078</v>
      </c>
      <c r="N421" s="648">
        <v>40299</v>
      </c>
    </row>
    <row r="422" spans="1:14" x14ac:dyDescent="0.35">
      <c r="A422" s="647">
        <v>3123</v>
      </c>
      <c r="B422" s="647" t="s">
        <v>5753</v>
      </c>
      <c r="C422" s="647" t="s">
        <v>5754</v>
      </c>
      <c r="D422" s="647" t="s">
        <v>2815</v>
      </c>
      <c r="E422" s="647" t="s">
        <v>2768</v>
      </c>
      <c r="F422" s="647">
        <v>47533</v>
      </c>
      <c r="G422" s="647" t="s">
        <v>5755</v>
      </c>
      <c r="H422" s="647" t="s">
        <v>4688</v>
      </c>
      <c r="I422" s="647" t="s">
        <v>3925</v>
      </c>
      <c r="J422" s="647">
        <v>1506911</v>
      </c>
      <c r="K422" s="647" t="s">
        <v>3945</v>
      </c>
      <c r="L422" s="647" t="s">
        <v>5756</v>
      </c>
      <c r="M422" s="647" t="s">
        <v>3826</v>
      </c>
      <c r="N422" s="648">
        <v>40193</v>
      </c>
    </row>
    <row r="423" spans="1:14" x14ac:dyDescent="0.35">
      <c r="A423" s="647">
        <v>3124</v>
      </c>
      <c r="B423" s="647" t="s">
        <v>5757</v>
      </c>
      <c r="C423" s="647" t="s">
        <v>5758</v>
      </c>
      <c r="D423" s="647" t="s">
        <v>2291</v>
      </c>
      <c r="E423" s="647" t="s">
        <v>2768</v>
      </c>
      <c r="F423" s="647">
        <v>71101</v>
      </c>
      <c r="G423" s="647" t="s">
        <v>5759</v>
      </c>
      <c r="H423" s="647" t="s">
        <v>4688</v>
      </c>
      <c r="I423" s="647" t="s">
        <v>3937</v>
      </c>
      <c r="J423" s="647">
        <v>2413920</v>
      </c>
      <c r="K423" s="647" t="s">
        <v>5735</v>
      </c>
      <c r="L423" s="647" t="s">
        <v>5760</v>
      </c>
      <c r="M423" s="647" t="s">
        <v>3826</v>
      </c>
      <c r="N423" s="648">
        <v>40179</v>
      </c>
    </row>
    <row r="424" spans="1:14" x14ac:dyDescent="0.35">
      <c r="A424" s="647">
        <v>3127</v>
      </c>
      <c r="B424" s="647" t="s">
        <v>5761</v>
      </c>
      <c r="C424" s="647" t="s">
        <v>5762</v>
      </c>
      <c r="D424" s="647" t="s">
        <v>2818</v>
      </c>
      <c r="E424" s="647" t="s">
        <v>2819</v>
      </c>
      <c r="F424" s="647">
        <v>56007</v>
      </c>
      <c r="G424" s="647" t="s">
        <v>5763</v>
      </c>
      <c r="H424" s="649"/>
      <c r="I424" s="649"/>
      <c r="J424" s="647">
        <v>643623</v>
      </c>
      <c r="K424" s="647" t="s">
        <v>4645</v>
      </c>
      <c r="L424" s="647" t="s">
        <v>5764</v>
      </c>
      <c r="M424" s="647" t="s">
        <v>3826</v>
      </c>
      <c r="N424" s="648" t="e">
        <v>#N/A</v>
      </c>
    </row>
    <row r="425" spans="1:14" x14ac:dyDescent="0.35">
      <c r="A425" s="647">
        <v>3131</v>
      </c>
      <c r="B425" s="647" t="s">
        <v>5765</v>
      </c>
      <c r="C425" s="647" t="s">
        <v>5766</v>
      </c>
      <c r="D425" s="647" t="s">
        <v>2821</v>
      </c>
      <c r="E425" s="647" t="s">
        <v>2819</v>
      </c>
      <c r="F425" s="647">
        <v>55912</v>
      </c>
      <c r="G425" s="647" t="s">
        <v>5767</v>
      </c>
      <c r="H425" s="649"/>
      <c r="I425" s="649"/>
      <c r="J425" s="647">
        <v>1420439</v>
      </c>
      <c r="K425" s="647" t="s">
        <v>3860</v>
      </c>
      <c r="L425" s="647" t="s">
        <v>5768</v>
      </c>
      <c r="M425" s="647" t="s">
        <v>3826</v>
      </c>
      <c r="N425" s="648" t="e">
        <v>#N/A</v>
      </c>
    </row>
    <row r="426" spans="1:14" x14ac:dyDescent="0.35">
      <c r="A426" s="647">
        <v>3135</v>
      </c>
      <c r="B426" s="647" t="s">
        <v>5769</v>
      </c>
      <c r="C426" s="647" t="s">
        <v>5770</v>
      </c>
      <c r="D426" s="647" t="s">
        <v>2823</v>
      </c>
      <c r="E426" s="647" t="s">
        <v>2819</v>
      </c>
      <c r="F426" s="647">
        <v>56401</v>
      </c>
      <c r="G426" s="647" t="s">
        <v>5771</v>
      </c>
      <c r="H426" s="649"/>
      <c r="I426" s="649"/>
      <c r="J426" s="647">
        <v>1374349</v>
      </c>
      <c r="K426" s="647" t="s">
        <v>4563</v>
      </c>
      <c r="L426" s="647" t="s">
        <v>5772</v>
      </c>
      <c r="M426" s="647" t="s">
        <v>3826</v>
      </c>
      <c r="N426" s="648" t="e">
        <v>#N/A</v>
      </c>
    </row>
    <row r="427" spans="1:14" x14ac:dyDescent="0.35">
      <c r="A427" s="647">
        <v>3139</v>
      </c>
      <c r="B427" s="647" t="s">
        <v>5773</v>
      </c>
      <c r="C427" s="647" t="s">
        <v>5774</v>
      </c>
      <c r="D427" s="647" t="s">
        <v>2825</v>
      </c>
      <c r="E427" s="647" t="s">
        <v>2819</v>
      </c>
      <c r="F427" s="647">
        <v>55802</v>
      </c>
      <c r="G427" s="647" t="s">
        <v>5775</v>
      </c>
      <c r="H427" s="647" t="s">
        <v>3931</v>
      </c>
      <c r="I427" s="647" t="s">
        <v>3925</v>
      </c>
      <c r="J427" s="647">
        <v>4604183</v>
      </c>
      <c r="K427" s="647" t="s">
        <v>4067</v>
      </c>
      <c r="L427" s="647" t="s">
        <v>5557</v>
      </c>
      <c r="M427" s="647" t="s">
        <v>4078</v>
      </c>
      <c r="N427" s="648">
        <v>40178</v>
      </c>
    </row>
    <row r="428" spans="1:14" x14ac:dyDescent="0.35">
      <c r="A428" s="647">
        <v>3143</v>
      </c>
      <c r="B428" s="647" t="s">
        <v>5776</v>
      </c>
      <c r="C428" s="647" t="s">
        <v>5777</v>
      </c>
      <c r="D428" s="647" t="s">
        <v>2827</v>
      </c>
      <c r="E428" s="647" t="s">
        <v>2819</v>
      </c>
      <c r="F428" s="647">
        <v>56537</v>
      </c>
      <c r="G428" s="647" t="s">
        <v>5778</v>
      </c>
      <c r="H428" s="649"/>
      <c r="I428" s="649"/>
      <c r="J428" s="647">
        <v>1018979</v>
      </c>
      <c r="K428" s="647" t="s">
        <v>5694</v>
      </c>
      <c r="L428" s="647" t="s">
        <v>5779</v>
      </c>
      <c r="M428" s="647" t="s">
        <v>3826</v>
      </c>
      <c r="N428" s="648" t="e">
        <v>#N/A</v>
      </c>
    </row>
    <row r="429" spans="1:14" x14ac:dyDescent="0.35">
      <c r="A429" s="647">
        <v>3145</v>
      </c>
      <c r="B429" s="647" t="s">
        <v>5780</v>
      </c>
      <c r="C429" s="647" t="s">
        <v>5781</v>
      </c>
      <c r="D429" s="647" t="s">
        <v>2786</v>
      </c>
      <c r="E429" s="647" t="s">
        <v>2819</v>
      </c>
      <c r="F429" s="647">
        <v>55744</v>
      </c>
      <c r="G429" s="647" t="s">
        <v>5782</v>
      </c>
      <c r="H429" s="647" t="s">
        <v>3994</v>
      </c>
      <c r="I429" s="647" t="s">
        <v>3977</v>
      </c>
      <c r="J429" s="647">
        <v>1747627</v>
      </c>
      <c r="K429" s="647" t="s">
        <v>5654</v>
      </c>
      <c r="L429" s="647" t="s">
        <v>4068</v>
      </c>
      <c r="M429" s="647" t="s">
        <v>4078</v>
      </c>
      <c r="N429" s="648">
        <v>40391</v>
      </c>
    </row>
    <row r="430" spans="1:14" x14ac:dyDescent="0.35">
      <c r="A430" s="647">
        <v>3146</v>
      </c>
      <c r="B430" s="647" t="s">
        <v>5783</v>
      </c>
      <c r="C430" s="647" t="s">
        <v>5784</v>
      </c>
      <c r="D430" s="647" t="s">
        <v>2830</v>
      </c>
      <c r="E430" s="647" t="s">
        <v>2819</v>
      </c>
      <c r="F430" s="647">
        <v>56201</v>
      </c>
      <c r="G430" s="647" t="s">
        <v>5785</v>
      </c>
      <c r="H430" s="647" t="s">
        <v>3931</v>
      </c>
      <c r="I430" s="647" t="s">
        <v>4502</v>
      </c>
      <c r="J430" s="647">
        <v>1727371</v>
      </c>
      <c r="K430" s="647" t="s">
        <v>5786</v>
      </c>
      <c r="L430" s="647" t="s">
        <v>5787</v>
      </c>
      <c r="M430" s="647" t="s">
        <v>4078</v>
      </c>
      <c r="N430" s="648">
        <v>40207</v>
      </c>
    </row>
    <row r="431" spans="1:14" x14ac:dyDescent="0.35">
      <c r="A431" s="647">
        <v>3147</v>
      </c>
      <c r="B431" s="647" t="s">
        <v>5788</v>
      </c>
      <c r="C431" s="647" t="s">
        <v>5789</v>
      </c>
      <c r="D431" s="647" t="s">
        <v>2832</v>
      </c>
      <c r="E431" s="647" t="s">
        <v>2819</v>
      </c>
      <c r="F431" s="647">
        <v>56001</v>
      </c>
      <c r="G431" s="647" t="s">
        <v>5790</v>
      </c>
      <c r="H431" s="647" t="s">
        <v>3931</v>
      </c>
      <c r="I431" s="647" t="s">
        <v>4502</v>
      </c>
      <c r="J431" s="647">
        <v>2809451</v>
      </c>
      <c r="K431" s="647" t="s">
        <v>4259</v>
      </c>
      <c r="L431" s="647" t="s">
        <v>5791</v>
      </c>
      <c r="M431" s="647" t="s">
        <v>3826</v>
      </c>
      <c r="N431" s="648">
        <v>40452</v>
      </c>
    </row>
    <row r="432" spans="1:14" x14ac:dyDescent="0.35">
      <c r="A432" s="647">
        <v>3149</v>
      </c>
      <c r="B432" s="647" t="s">
        <v>5792</v>
      </c>
      <c r="C432" s="647" t="s">
        <v>5793</v>
      </c>
      <c r="D432" s="647" t="s">
        <v>2834</v>
      </c>
      <c r="E432" s="647" t="s">
        <v>2819</v>
      </c>
      <c r="F432" s="647">
        <v>55792</v>
      </c>
      <c r="G432" s="647" t="s">
        <v>5794</v>
      </c>
      <c r="H432" s="649"/>
      <c r="I432" s="649"/>
      <c r="J432" s="647">
        <v>796062</v>
      </c>
      <c r="K432" s="647" t="s">
        <v>5542</v>
      </c>
      <c r="L432" s="647" t="s">
        <v>5795</v>
      </c>
      <c r="M432" s="647" t="s">
        <v>3826</v>
      </c>
      <c r="N432" s="648" t="e">
        <v>#N/A</v>
      </c>
    </row>
    <row r="433" spans="1:14" x14ac:dyDescent="0.35">
      <c r="A433" s="647">
        <v>3151</v>
      </c>
      <c r="B433" s="647" t="s">
        <v>5796</v>
      </c>
      <c r="C433" s="647" t="s">
        <v>5797</v>
      </c>
      <c r="D433" s="647" t="s">
        <v>2836</v>
      </c>
      <c r="E433" s="647" t="s">
        <v>2819</v>
      </c>
      <c r="F433" s="647">
        <v>55402</v>
      </c>
      <c r="G433" s="647" t="s">
        <v>5798</v>
      </c>
      <c r="H433" s="647" t="s">
        <v>4688</v>
      </c>
      <c r="I433" s="647" t="s">
        <v>4123</v>
      </c>
      <c r="J433" s="647">
        <v>53871943</v>
      </c>
      <c r="K433" s="647" t="s">
        <v>5706</v>
      </c>
      <c r="L433" s="647" t="s">
        <v>5799</v>
      </c>
      <c r="M433" s="647" t="s">
        <v>3826</v>
      </c>
      <c r="N433" s="648" t="e">
        <v>#N/A</v>
      </c>
    </row>
    <row r="434" spans="1:14" x14ac:dyDescent="0.35">
      <c r="A434" s="647">
        <v>3176</v>
      </c>
      <c r="B434" s="647" t="s">
        <v>5800</v>
      </c>
      <c r="C434" s="647" t="s">
        <v>5801</v>
      </c>
      <c r="D434" s="647" t="s">
        <v>2838</v>
      </c>
      <c r="E434" s="647" t="s">
        <v>2819</v>
      </c>
      <c r="F434" s="647" t="s">
        <v>5802</v>
      </c>
      <c r="G434" s="647" t="s">
        <v>5803</v>
      </c>
      <c r="H434" s="647" t="s">
        <v>3931</v>
      </c>
      <c r="I434" s="647" t="s">
        <v>4502</v>
      </c>
      <c r="J434" s="647">
        <v>1361913</v>
      </c>
      <c r="K434" s="647" t="s">
        <v>5804</v>
      </c>
      <c r="L434" s="647" t="s">
        <v>5174</v>
      </c>
      <c r="M434" s="647" t="s">
        <v>3826</v>
      </c>
      <c r="N434" s="648">
        <v>40311</v>
      </c>
    </row>
    <row r="435" spans="1:14" x14ac:dyDescent="0.35">
      <c r="A435" s="647">
        <v>3193</v>
      </c>
      <c r="B435" s="647" t="s">
        <v>5805</v>
      </c>
      <c r="C435" s="647" t="s">
        <v>5806</v>
      </c>
      <c r="D435" s="647" t="s">
        <v>2840</v>
      </c>
      <c r="E435" s="647" t="s">
        <v>2819</v>
      </c>
      <c r="F435" s="647">
        <v>55066</v>
      </c>
      <c r="G435" s="647" t="s">
        <v>5807</v>
      </c>
      <c r="H435" s="649"/>
      <c r="I435" s="649"/>
      <c r="J435" s="647">
        <v>1907182</v>
      </c>
      <c r="K435" s="647" t="s">
        <v>4044</v>
      </c>
      <c r="L435" s="647" t="s">
        <v>5808</v>
      </c>
      <c r="M435" s="647" t="s">
        <v>4078</v>
      </c>
      <c r="N435" s="648" t="e">
        <v>#N/A</v>
      </c>
    </row>
    <row r="436" spans="1:14" x14ac:dyDescent="0.35">
      <c r="A436" s="647">
        <v>3197</v>
      </c>
      <c r="B436" s="647" t="s">
        <v>5809</v>
      </c>
      <c r="C436" s="647" t="s">
        <v>5810</v>
      </c>
      <c r="D436" s="647" t="s">
        <v>2842</v>
      </c>
      <c r="E436" s="647" t="s">
        <v>2819</v>
      </c>
      <c r="F436" s="647">
        <v>55902</v>
      </c>
      <c r="G436" s="647" t="s">
        <v>5811</v>
      </c>
      <c r="H436" s="647" t="s">
        <v>3994</v>
      </c>
      <c r="I436" s="647" t="s">
        <v>4264</v>
      </c>
      <c r="J436" s="647">
        <v>2986231</v>
      </c>
      <c r="K436" s="647" t="s">
        <v>3880</v>
      </c>
      <c r="L436" s="647" t="s">
        <v>5812</v>
      </c>
      <c r="M436" s="647" t="s">
        <v>3826</v>
      </c>
      <c r="N436" s="648" t="e">
        <v>#N/A</v>
      </c>
    </row>
    <row r="437" spans="1:14" x14ac:dyDescent="0.35">
      <c r="A437" s="647">
        <v>3198</v>
      </c>
      <c r="B437" s="647" t="s">
        <v>5813</v>
      </c>
      <c r="C437" s="647" t="s">
        <v>5814</v>
      </c>
      <c r="D437" s="647" t="s">
        <v>2844</v>
      </c>
      <c r="E437" s="647" t="s">
        <v>2819</v>
      </c>
      <c r="F437" s="647">
        <v>56655</v>
      </c>
      <c r="G437" s="647" t="s">
        <v>5815</v>
      </c>
      <c r="H437" s="647" t="s">
        <v>3931</v>
      </c>
      <c r="I437" s="647" t="s">
        <v>4502</v>
      </c>
      <c r="J437" s="647">
        <v>779018</v>
      </c>
      <c r="K437" s="647" t="s">
        <v>4181</v>
      </c>
      <c r="L437" s="647" t="s">
        <v>5816</v>
      </c>
      <c r="M437" s="647" t="s">
        <v>3826</v>
      </c>
      <c r="N437" s="648">
        <v>40279</v>
      </c>
    </row>
    <row r="438" spans="1:14" x14ac:dyDescent="0.35">
      <c r="A438" s="647">
        <v>3199</v>
      </c>
      <c r="B438" s="647" t="s">
        <v>5817</v>
      </c>
      <c r="C438" s="647" t="s">
        <v>5818</v>
      </c>
      <c r="D438" s="647" t="s">
        <v>2846</v>
      </c>
      <c r="E438" s="647" t="s">
        <v>2819</v>
      </c>
      <c r="F438" s="647">
        <v>30341</v>
      </c>
      <c r="G438" s="647" t="s">
        <v>5819</v>
      </c>
      <c r="H438" s="647" t="s">
        <v>3931</v>
      </c>
      <c r="I438" s="647" t="s">
        <v>4502</v>
      </c>
      <c r="J438" s="647">
        <v>1308403</v>
      </c>
      <c r="K438" s="647" t="s">
        <v>3926</v>
      </c>
      <c r="L438" s="647" t="s">
        <v>5820</v>
      </c>
      <c r="M438" s="647" t="s">
        <v>3826</v>
      </c>
      <c r="N438" s="648">
        <v>40452</v>
      </c>
    </row>
    <row r="439" spans="1:14" x14ac:dyDescent="0.35">
      <c r="A439" s="647">
        <v>3201</v>
      </c>
      <c r="B439" s="647" t="s">
        <v>5821</v>
      </c>
      <c r="C439" s="647" t="s">
        <v>5822</v>
      </c>
      <c r="D439" s="647" t="s">
        <v>2836</v>
      </c>
      <c r="E439" s="647" t="s">
        <v>2819</v>
      </c>
      <c r="F439" s="647">
        <v>55413</v>
      </c>
      <c r="G439" s="647" t="s">
        <v>5823</v>
      </c>
      <c r="H439" s="647" t="s">
        <v>3931</v>
      </c>
      <c r="I439" s="647" t="s">
        <v>4123</v>
      </c>
      <c r="J439" s="647">
        <v>46227677</v>
      </c>
      <c r="K439" s="647" t="s">
        <v>4488</v>
      </c>
      <c r="L439" s="647" t="s">
        <v>5824</v>
      </c>
      <c r="M439" s="647" t="s">
        <v>3826</v>
      </c>
      <c r="N439" s="648" t="e">
        <v>#N/A</v>
      </c>
    </row>
    <row r="440" spans="1:14" x14ac:dyDescent="0.35">
      <c r="A440" s="647">
        <v>3241</v>
      </c>
      <c r="B440" s="647" t="s">
        <v>5825</v>
      </c>
      <c r="C440" s="647" t="s">
        <v>5826</v>
      </c>
      <c r="D440" s="647" t="s">
        <v>2849</v>
      </c>
      <c r="E440" s="647" t="s">
        <v>2819</v>
      </c>
      <c r="F440" s="647" t="s">
        <v>5827</v>
      </c>
      <c r="G440" s="647" t="s">
        <v>5828</v>
      </c>
      <c r="H440" s="647" t="s">
        <v>3931</v>
      </c>
      <c r="I440" s="647" t="s">
        <v>4502</v>
      </c>
      <c r="J440" s="647">
        <v>547945</v>
      </c>
      <c r="K440" s="647" t="s">
        <v>5421</v>
      </c>
      <c r="L440" s="647" t="s">
        <v>5206</v>
      </c>
      <c r="M440" s="647" t="s">
        <v>4078</v>
      </c>
      <c r="N440" s="648">
        <v>40351</v>
      </c>
    </row>
    <row r="441" spans="1:14" x14ac:dyDescent="0.35">
      <c r="A441" s="647">
        <v>3245</v>
      </c>
      <c r="B441" s="647" t="s">
        <v>5829</v>
      </c>
      <c r="C441" s="647" t="s">
        <v>5830</v>
      </c>
      <c r="D441" s="647" t="s">
        <v>2851</v>
      </c>
      <c r="E441" s="647" t="s">
        <v>2819</v>
      </c>
      <c r="F441" s="647">
        <v>56187</v>
      </c>
      <c r="G441" s="647" t="s">
        <v>5831</v>
      </c>
      <c r="H441" s="647" t="s">
        <v>3994</v>
      </c>
      <c r="I441" s="647" t="s">
        <v>4264</v>
      </c>
      <c r="J441" s="647">
        <v>1453098</v>
      </c>
      <c r="K441" s="647" t="s">
        <v>5832</v>
      </c>
      <c r="L441" s="647" t="s">
        <v>5833</v>
      </c>
      <c r="M441" s="647" t="s">
        <v>3826</v>
      </c>
      <c r="N441" s="648" t="e">
        <v>#N/A</v>
      </c>
    </row>
    <row r="442" spans="1:14" x14ac:dyDescent="0.35">
      <c r="A442" s="647">
        <v>3249</v>
      </c>
      <c r="B442" s="647" t="s">
        <v>5834</v>
      </c>
      <c r="C442" s="647" t="s">
        <v>5835</v>
      </c>
      <c r="D442" s="647" t="s">
        <v>2295</v>
      </c>
      <c r="E442" s="647" t="s">
        <v>2854</v>
      </c>
      <c r="F442" s="647">
        <v>39701</v>
      </c>
      <c r="G442" s="647" t="s">
        <v>5836</v>
      </c>
      <c r="H442" s="647" t="s">
        <v>3822</v>
      </c>
      <c r="I442" s="647" t="s">
        <v>3823</v>
      </c>
      <c r="J442" s="647">
        <v>1616940</v>
      </c>
      <c r="K442" s="647" t="s">
        <v>5421</v>
      </c>
      <c r="L442" s="647" t="s">
        <v>5837</v>
      </c>
      <c r="M442" s="647" t="s">
        <v>3826</v>
      </c>
      <c r="N442" s="648">
        <v>40391</v>
      </c>
    </row>
    <row r="443" spans="1:14" x14ac:dyDescent="0.35">
      <c r="A443" s="647">
        <v>3251</v>
      </c>
      <c r="B443" s="647" t="s">
        <v>5838</v>
      </c>
      <c r="C443" s="647" t="s">
        <v>5839</v>
      </c>
      <c r="D443" s="647" t="s">
        <v>2856</v>
      </c>
      <c r="E443" s="647" t="s">
        <v>2819</v>
      </c>
      <c r="F443" s="647">
        <v>55057</v>
      </c>
      <c r="G443" s="647" t="s">
        <v>5840</v>
      </c>
      <c r="H443" s="647" t="s">
        <v>3994</v>
      </c>
      <c r="I443" s="647" t="s">
        <v>4264</v>
      </c>
      <c r="J443" s="647">
        <v>129485</v>
      </c>
      <c r="K443" s="647" t="s">
        <v>2834</v>
      </c>
      <c r="L443" s="647" t="s">
        <v>5841</v>
      </c>
      <c r="M443" s="647" t="s">
        <v>4078</v>
      </c>
      <c r="N443" s="648" t="e">
        <v>#N/A</v>
      </c>
    </row>
    <row r="444" spans="1:14" x14ac:dyDescent="0.35">
      <c r="A444" s="647">
        <v>3257</v>
      </c>
      <c r="B444" s="647" t="s">
        <v>5842</v>
      </c>
      <c r="C444" s="647" t="s">
        <v>5843</v>
      </c>
      <c r="D444" s="647" t="s">
        <v>2858</v>
      </c>
      <c r="E444" s="647" t="s">
        <v>2854</v>
      </c>
      <c r="F444" s="647">
        <v>38703</v>
      </c>
      <c r="G444" s="647" t="s">
        <v>5844</v>
      </c>
      <c r="H444" s="647" t="s">
        <v>3822</v>
      </c>
      <c r="I444" s="647" t="s">
        <v>3823</v>
      </c>
      <c r="J444" s="647">
        <v>1175129</v>
      </c>
      <c r="K444" s="647" t="s">
        <v>5845</v>
      </c>
      <c r="L444" s="647" t="s">
        <v>5846</v>
      </c>
      <c r="M444" s="647" t="s">
        <v>3826</v>
      </c>
      <c r="N444" s="648">
        <v>40179</v>
      </c>
    </row>
    <row r="445" spans="1:14" x14ac:dyDescent="0.35">
      <c r="A445" s="647">
        <v>3269</v>
      </c>
      <c r="B445" s="647" t="s">
        <v>5847</v>
      </c>
      <c r="C445" s="647" t="s">
        <v>5848</v>
      </c>
      <c r="D445" s="647" t="s">
        <v>2860</v>
      </c>
      <c r="E445" s="647" t="s">
        <v>2854</v>
      </c>
      <c r="F445" s="647">
        <v>39401</v>
      </c>
      <c r="G445" s="647" t="s">
        <v>5849</v>
      </c>
      <c r="H445" s="649"/>
      <c r="I445" s="649"/>
      <c r="J445" s="647">
        <v>2994735</v>
      </c>
      <c r="K445" s="647" t="s">
        <v>4777</v>
      </c>
      <c r="L445" s="647" t="s">
        <v>5850</v>
      </c>
      <c r="M445" s="647" t="s">
        <v>3826</v>
      </c>
      <c r="N445" s="648" t="e">
        <v>#N/A</v>
      </c>
    </row>
    <row r="446" spans="1:14" x14ac:dyDescent="0.35">
      <c r="A446" s="647">
        <v>3271</v>
      </c>
      <c r="B446" s="647" t="s">
        <v>5851</v>
      </c>
      <c r="C446" s="647" t="s">
        <v>5852</v>
      </c>
      <c r="D446" s="647" t="s">
        <v>2862</v>
      </c>
      <c r="E446" s="647" t="s">
        <v>2854</v>
      </c>
      <c r="F446" s="647">
        <v>39564</v>
      </c>
      <c r="G446" s="647" t="s">
        <v>5853</v>
      </c>
      <c r="H446" s="647" t="s">
        <v>3822</v>
      </c>
      <c r="I446" s="647" t="s">
        <v>3823</v>
      </c>
      <c r="J446" s="647">
        <v>4137609</v>
      </c>
      <c r="K446" s="647" t="s">
        <v>4777</v>
      </c>
      <c r="L446" s="647" t="s">
        <v>5854</v>
      </c>
      <c r="M446" s="647" t="s">
        <v>3826</v>
      </c>
      <c r="N446" s="648">
        <v>40360</v>
      </c>
    </row>
    <row r="447" spans="1:14" x14ac:dyDescent="0.35">
      <c r="A447" s="647">
        <v>3273</v>
      </c>
      <c r="B447" s="647" t="s">
        <v>5855</v>
      </c>
      <c r="C447" s="647" t="s">
        <v>5856</v>
      </c>
      <c r="D447" s="647" t="s">
        <v>2796</v>
      </c>
      <c r="E447" s="647" t="s">
        <v>2854</v>
      </c>
      <c r="F447" s="647">
        <v>39202</v>
      </c>
      <c r="G447" s="647" t="s">
        <v>5857</v>
      </c>
      <c r="H447" s="647" t="s">
        <v>3822</v>
      </c>
      <c r="I447" s="647" t="s">
        <v>3823</v>
      </c>
      <c r="J447" s="647">
        <v>8917962</v>
      </c>
      <c r="K447" s="647" t="s">
        <v>4164</v>
      </c>
      <c r="L447" s="647" t="s">
        <v>4356</v>
      </c>
      <c r="M447" s="647" t="s">
        <v>3826</v>
      </c>
      <c r="N447" s="648">
        <v>40179</v>
      </c>
    </row>
    <row r="448" spans="1:14" x14ac:dyDescent="0.35">
      <c r="A448" s="647">
        <v>3299</v>
      </c>
      <c r="B448" s="647" t="s">
        <v>5858</v>
      </c>
      <c r="C448" s="647" t="s">
        <v>5859</v>
      </c>
      <c r="D448" s="647" t="s">
        <v>5860</v>
      </c>
      <c r="E448" s="647" t="s">
        <v>2854</v>
      </c>
      <c r="F448" s="647">
        <v>2828</v>
      </c>
      <c r="G448" s="647" t="s">
        <v>5861</v>
      </c>
      <c r="H448" s="649"/>
      <c r="I448" s="649"/>
      <c r="J448" s="647"/>
      <c r="K448" s="647" t="s">
        <v>4668</v>
      </c>
      <c r="L448" s="647" t="s">
        <v>5862</v>
      </c>
      <c r="M448" s="647" t="s">
        <v>3826</v>
      </c>
      <c r="N448" s="648" t="e">
        <v>#N/A</v>
      </c>
    </row>
    <row r="449" spans="1:14" x14ac:dyDescent="0.35">
      <c r="A449" s="647">
        <v>3309</v>
      </c>
      <c r="B449" s="647" t="s">
        <v>5863</v>
      </c>
      <c r="C449" s="647" t="s">
        <v>5864</v>
      </c>
      <c r="D449" s="647" t="s">
        <v>2865</v>
      </c>
      <c r="E449" s="647" t="s">
        <v>2854</v>
      </c>
      <c r="F449" s="647">
        <v>39180</v>
      </c>
      <c r="G449" s="647" t="s">
        <v>5865</v>
      </c>
      <c r="H449" s="647" t="s">
        <v>3822</v>
      </c>
      <c r="I449" s="647" t="s">
        <v>3823</v>
      </c>
      <c r="J449" s="647">
        <v>1190706</v>
      </c>
      <c r="K449" s="647" t="s">
        <v>5866</v>
      </c>
      <c r="L449" s="647" t="s">
        <v>4684</v>
      </c>
      <c r="M449" s="647" t="s">
        <v>3826</v>
      </c>
      <c r="N449" s="648" t="e">
        <v>#N/A</v>
      </c>
    </row>
    <row r="450" spans="1:14" x14ac:dyDescent="0.35">
      <c r="A450" s="647">
        <v>3317</v>
      </c>
      <c r="B450" s="647" t="s">
        <v>5867</v>
      </c>
      <c r="C450" s="647" t="s">
        <v>5868</v>
      </c>
      <c r="D450" s="647" t="s">
        <v>2867</v>
      </c>
      <c r="E450" s="647" t="s">
        <v>2868</v>
      </c>
      <c r="F450" s="647">
        <v>65211</v>
      </c>
      <c r="G450" s="647" t="s">
        <v>5869</v>
      </c>
      <c r="H450" s="647" t="s">
        <v>3994</v>
      </c>
      <c r="I450" s="647" t="s">
        <v>3823</v>
      </c>
      <c r="J450" s="647">
        <v>101067</v>
      </c>
      <c r="K450" s="647" t="s">
        <v>5870</v>
      </c>
      <c r="L450" s="647" t="s">
        <v>4676</v>
      </c>
      <c r="M450" s="647" t="s">
        <v>3826</v>
      </c>
      <c r="N450" s="648" t="e">
        <v>#N/A</v>
      </c>
    </row>
    <row r="451" spans="1:14" x14ac:dyDescent="0.35">
      <c r="A451" s="647">
        <v>3318</v>
      </c>
      <c r="B451" s="647" t="s">
        <v>5871</v>
      </c>
      <c r="C451" s="647" t="s">
        <v>5872</v>
      </c>
      <c r="D451" s="647" t="s">
        <v>2870</v>
      </c>
      <c r="E451" s="647" t="s">
        <v>2868</v>
      </c>
      <c r="F451" s="647" t="s">
        <v>5873</v>
      </c>
      <c r="G451" s="647" t="s">
        <v>5874</v>
      </c>
      <c r="H451" s="647" t="s">
        <v>5875</v>
      </c>
      <c r="I451" s="647" t="s">
        <v>3925</v>
      </c>
      <c r="J451" s="647">
        <v>479428</v>
      </c>
      <c r="K451" s="647" t="s">
        <v>5876</v>
      </c>
      <c r="L451" s="647" t="s">
        <v>5877</v>
      </c>
      <c r="M451" s="647" t="s">
        <v>3826</v>
      </c>
      <c r="N451" s="648">
        <v>40356</v>
      </c>
    </row>
    <row r="452" spans="1:14" x14ac:dyDescent="0.35">
      <c r="A452" s="647">
        <v>3320</v>
      </c>
      <c r="B452" s="647" t="s">
        <v>5878</v>
      </c>
      <c r="C452" s="647" t="s">
        <v>5879</v>
      </c>
      <c r="D452" s="647" t="s">
        <v>2872</v>
      </c>
      <c r="E452" s="647" t="s">
        <v>2868</v>
      </c>
      <c r="F452" s="647">
        <v>64601</v>
      </c>
      <c r="G452" s="647" t="s">
        <v>5880</v>
      </c>
      <c r="H452" s="649"/>
      <c r="I452" s="649"/>
      <c r="J452" s="647">
        <v>1094954</v>
      </c>
      <c r="K452" s="647" t="s">
        <v>4164</v>
      </c>
      <c r="L452" s="647" t="s">
        <v>4494</v>
      </c>
      <c r="M452" s="647" t="s">
        <v>3826</v>
      </c>
      <c r="N452" s="648" t="e">
        <v>#N/A</v>
      </c>
    </row>
    <row r="453" spans="1:14" x14ac:dyDescent="0.35">
      <c r="A453" s="647">
        <v>3321</v>
      </c>
      <c r="B453" s="647" t="s">
        <v>5881</v>
      </c>
      <c r="C453" s="647" t="s">
        <v>3904</v>
      </c>
      <c r="D453" s="647" t="s">
        <v>2874</v>
      </c>
      <c r="E453" s="647" t="s">
        <v>2868</v>
      </c>
      <c r="F453" s="647" t="s">
        <v>5882</v>
      </c>
      <c r="G453" s="647" t="s">
        <v>5883</v>
      </c>
      <c r="H453" s="647" t="s">
        <v>3994</v>
      </c>
      <c r="I453" s="647" t="s">
        <v>4279</v>
      </c>
      <c r="J453" s="647">
        <v>1407574</v>
      </c>
      <c r="K453" s="647" t="s">
        <v>4568</v>
      </c>
      <c r="L453" s="647" t="s">
        <v>5884</v>
      </c>
      <c r="M453" s="647" t="s">
        <v>5885</v>
      </c>
      <c r="N453" s="648" t="e">
        <v>#N/A</v>
      </c>
    </row>
    <row r="454" spans="1:14" x14ac:dyDescent="0.35">
      <c r="A454" s="647">
        <v>3323</v>
      </c>
      <c r="B454" s="647" t="s">
        <v>5886</v>
      </c>
      <c r="C454" s="647" t="s">
        <v>5887</v>
      </c>
      <c r="D454" s="647" t="s">
        <v>2876</v>
      </c>
      <c r="E454" s="647" t="s">
        <v>2868</v>
      </c>
      <c r="F454" s="647" t="s">
        <v>5888</v>
      </c>
      <c r="G454" s="647" t="s">
        <v>5889</v>
      </c>
      <c r="H454" s="647" t="s">
        <v>3994</v>
      </c>
      <c r="I454" s="647" t="s">
        <v>4279</v>
      </c>
      <c r="J454" s="647">
        <v>4756134</v>
      </c>
      <c r="K454" s="647" t="s">
        <v>4129</v>
      </c>
      <c r="L454" s="647" t="s">
        <v>5890</v>
      </c>
      <c r="M454" s="647" t="s">
        <v>3826</v>
      </c>
      <c r="N454" s="648" t="e">
        <v>#N/A</v>
      </c>
    </row>
    <row r="455" spans="1:14" x14ac:dyDescent="0.35">
      <c r="A455" s="647">
        <v>3325</v>
      </c>
      <c r="B455" s="647" t="s">
        <v>5891</v>
      </c>
      <c r="C455" s="647" t="s">
        <v>5892</v>
      </c>
      <c r="D455" s="647" t="s">
        <v>2878</v>
      </c>
      <c r="E455" s="647" t="s">
        <v>2868</v>
      </c>
      <c r="F455" s="647">
        <v>64802</v>
      </c>
      <c r="G455" s="647" t="s">
        <v>5893</v>
      </c>
      <c r="H455" s="647" t="s">
        <v>5875</v>
      </c>
      <c r="I455" s="647" t="s">
        <v>3925</v>
      </c>
      <c r="J455" s="647">
        <v>3182024</v>
      </c>
      <c r="K455" s="647" t="s">
        <v>5894</v>
      </c>
      <c r="L455" s="647" t="s">
        <v>5895</v>
      </c>
      <c r="M455" s="647" t="s">
        <v>3826</v>
      </c>
      <c r="N455" s="648">
        <v>40313</v>
      </c>
    </row>
    <row r="456" spans="1:14" x14ac:dyDescent="0.35">
      <c r="A456" s="647">
        <v>3329</v>
      </c>
      <c r="B456" s="647" t="s">
        <v>5896</v>
      </c>
      <c r="C456" s="647" t="s">
        <v>5897</v>
      </c>
      <c r="D456" s="647" t="s">
        <v>2880</v>
      </c>
      <c r="E456" s="647" t="s">
        <v>2868</v>
      </c>
      <c r="F456" s="647">
        <v>64111</v>
      </c>
      <c r="G456" s="647" t="s">
        <v>5898</v>
      </c>
      <c r="H456" s="647" t="s">
        <v>3994</v>
      </c>
      <c r="I456" s="647" t="s">
        <v>3925</v>
      </c>
      <c r="J456" s="647">
        <v>44469368</v>
      </c>
      <c r="K456" s="647" t="s">
        <v>5899</v>
      </c>
      <c r="L456" s="647" t="s">
        <v>5900</v>
      </c>
      <c r="M456" s="647" t="s">
        <v>3826</v>
      </c>
      <c r="N456" s="648" t="e">
        <v>#N/A</v>
      </c>
    </row>
    <row r="457" spans="1:14" x14ac:dyDescent="0.35">
      <c r="A457" s="647">
        <v>3350</v>
      </c>
      <c r="B457" s="647" t="s">
        <v>5901</v>
      </c>
      <c r="C457" s="647" t="s">
        <v>5902</v>
      </c>
      <c r="D457" s="647" t="s">
        <v>2838</v>
      </c>
      <c r="E457" s="647" t="s">
        <v>2868</v>
      </c>
      <c r="F457" s="647">
        <v>65340</v>
      </c>
      <c r="G457" s="647" t="s">
        <v>5903</v>
      </c>
      <c r="H457" s="647" t="s">
        <v>3994</v>
      </c>
      <c r="I457" s="647" t="s">
        <v>3925</v>
      </c>
      <c r="J457" s="647">
        <v>720225</v>
      </c>
      <c r="K457" s="647" t="s">
        <v>5241</v>
      </c>
      <c r="L457" s="647" t="s">
        <v>5904</v>
      </c>
      <c r="M457" s="647" t="s">
        <v>3826</v>
      </c>
      <c r="N457" s="648" t="e">
        <v>#N/A</v>
      </c>
    </row>
    <row r="458" spans="1:14" x14ac:dyDescent="0.35">
      <c r="A458" s="647">
        <v>3351</v>
      </c>
      <c r="B458" s="647" t="s">
        <v>5905</v>
      </c>
      <c r="C458" s="647" t="s">
        <v>5906</v>
      </c>
      <c r="D458" s="647" t="s">
        <v>2883</v>
      </c>
      <c r="E458" s="647" t="s">
        <v>2868</v>
      </c>
      <c r="F458" s="647" t="s">
        <v>5907</v>
      </c>
      <c r="G458" s="647" t="s">
        <v>5908</v>
      </c>
      <c r="H458" s="647" t="s">
        <v>3994</v>
      </c>
      <c r="I458" s="647" t="s">
        <v>3925</v>
      </c>
      <c r="J458" s="647">
        <v>1236641</v>
      </c>
      <c r="K458" s="647" t="s">
        <v>5909</v>
      </c>
      <c r="L458" s="647" t="s">
        <v>5910</v>
      </c>
      <c r="M458" s="647" t="s">
        <v>4078</v>
      </c>
      <c r="N458" s="648" t="e">
        <v>#N/A</v>
      </c>
    </row>
    <row r="459" spans="1:14" x14ac:dyDescent="0.35">
      <c r="A459" s="647">
        <v>3355</v>
      </c>
      <c r="B459" s="647" t="s">
        <v>5911</v>
      </c>
      <c r="C459" s="647" t="s">
        <v>5912</v>
      </c>
      <c r="D459" s="647" t="s">
        <v>2885</v>
      </c>
      <c r="E459" s="647" t="s">
        <v>2868</v>
      </c>
      <c r="F459" s="647">
        <v>75702</v>
      </c>
      <c r="G459" s="647" t="s">
        <v>5913</v>
      </c>
      <c r="H459" s="647" t="s">
        <v>5875</v>
      </c>
      <c r="I459" s="647" t="s">
        <v>3937</v>
      </c>
      <c r="J459" s="647">
        <v>1082479</v>
      </c>
      <c r="K459" s="647" t="s">
        <v>5914</v>
      </c>
      <c r="L459" s="647" t="s">
        <v>5915</v>
      </c>
      <c r="M459" s="647" t="s">
        <v>4078</v>
      </c>
      <c r="N459" s="648">
        <v>40330</v>
      </c>
    </row>
    <row r="460" spans="1:14" x14ac:dyDescent="0.35">
      <c r="A460" s="647">
        <v>3373</v>
      </c>
      <c r="B460" s="647" t="s">
        <v>5916</v>
      </c>
      <c r="C460" s="647" t="s">
        <v>5917</v>
      </c>
      <c r="D460" s="647" t="s">
        <v>2887</v>
      </c>
      <c r="E460" s="647" t="s">
        <v>2868</v>
      </c>
      <c r="F460" s="647">
        <v>63501</v>
      </c>
      <c r="G460" s="647" t="s">
        <v>5918</v>
      </c>
      <c r="H460" s="647" t="s">
        <v>3994</v>
      </c>
      <c r="I460" s="647" t="s">
        <v>3925</v>
      </c>
      <c r="J460" s="647">
        <v>449862</v>
      </c>
      <c r="K460" s="647" t="s">
        <v>5028</v>
      </c>
      <c r="L460" s="647" t="s">
        <v>5919</v>
      </c>
      <c r="M460" s="647" t="s">
        <v>4078</v>
      </c>
      <c r="N460" s="648" t="e">
        <v>#N/A</v>
      </c>
    </row>
    <row r="461" spans="1:14" x14ac:dyDescent="0.35">
      <c r="A461" s="647">
        <v>3376</v>
      </c>
      <c r="B461" s="647" t="s">
        <v>5920</v>
      </c>
      <c r="C461" s="647" t="s">
        <v>5921</v>
      </c>
      <c r="D461" s="647" t="s">
        <v>2889</v>
      </c>
      <c r="E461" s="647" t="s">
        <v>2868</v>
      </c>
      <c r="F461" s="647" t="s">
        <v>5922</v>
      </c>
      <c r="G461" s="647" t="s">
        <v>5923</v>
      </c>
      <c r="H461" s="647" t="s">
        <v>3994</v>
      </c>
      <c r="I461" s="647" t="s">
        <v>4279</v>
      </c>
      <c r="J461" s="647">
        <v>722094</v>
      </c>
      <c r="K461" s="647" t="s">
        <v>5310</v>
      </c>
      <c r="L461" s="647" t="s">
        <v>5924</v>
      </c>
      <c r="M461" s="647" t="s">
        <v>3826</v>
      </c>
      <c r="N461" s="648" t="e">
        <v>#N/A</v>
      </c>
    </row>
    <row r="462" spans="1:14" x14ac:dyDescent="0.35">
      <c r="A462" s="647">
        <v>3377</v>
      </c>
      <c r="B462" s="647" t="s">
        <v>5925</v>
      </c>
      <c r="C462" s="647" t="s">
        <v>5926</v>
      </c>
      <c r="D462" s="647" t="s">
        <v>2891</v>
      </c>
      <c r="E462" s="647" t="s">
        <v>2868</v>
      </c>
      <c r="F462" s="647">
        <v>64501</v>
      </c>
      <c r="G462" s="647" t="s">
        <v>5927</v>
      </c>
      <c r="H462" s="647" t="s">
        <v>5875</v>
      </c>
      <c r="I462" s="647" t="s">
        <v>3925</v>
      </c>
      <c r="J462" s="647">
        <v>2454074</v>
      </c>
      <c r="K462" s="647" t="s">
        <v>3860</v>
      </c>
      <c r="L462" s="647" t="s">
        <v>5928</v>
      </c>
      <c r="M462" s="647" t="s">
        <v>3826</v>
      </c>
      <c r="N462" s="648">
        <v>40179</v>
      </c>
    </row>
    <row r="463" spans="1:14" x14ac:dyDescent="0.35">
      <c r="A463" s="647">
        <v>3378</v>
      </c>
      <c r="B463" s="647" t="s">
        <v>5929</v>
      </c>
      <c r="C463" s="647" t="s">
        <v>5930</v>
      </c>
      <c r="D463" s="647" t="s">
        <v>2893</v>
      </c>
      <c r="E463" s="647" t="s">
        <v>2868</v>
      </c>
      <c r="F463" s="647">
        <v>65251</v>
      </c>
      <c r="G463" s="647" t="s">
        <v>5931</v>
      </c>
      <c r="H463" s="647" t="s">
        <v>5875</v>
      </c>
      <c r="I463" s="647" t="s">
        <v>3925</v>
      </c>
      <c r="J463" s="647">
        <v>645351</v>
      </c>
      <c r="K463" s="647" t="s">
        <v>5932</v>
      </c>
      <c r="L463" s="647" t="s">
        <v>5063</v>
      </c>
      <c r="M463" s="647" t="s">
        <v>4078</v>
      </c>
      <c r="N463" s="648">
        <v>40391</v>
      </c>
    </row>
    <row r="464" spans="1:14" x14ac:dyDescent="0.35">
      <c r="A464" s="647">
        <v>3379</v>
      </c>
      <c r="B464" s="647" t="s">
        <v>5933</v>
      </c>
      <c r="C464" s="647" t="s">
        <v>5934</v>
      </c>
      <c r="D464" s="647" t="s">
        <v>2895</v>
      </c>
      <c r="E464" s="647" t="s">
        <v>2868</v>
      </c>
      <c r="F464" s="647">
        <v>64429</v>
      </c>
      <c r="G464" s="647" t="s">
        <v>5935</v>
      </c>
      <c r="H464" s="647" t="s">
        <v>5875</v>
      </c>
      <c r="I464" s="647" t="s">
        <v>3925</v>
      </c>
      <c r="J464" s="647">
        <v>432550</v>
      </c>
      <c r="K464" s="647" t="s">
        <v>5936</v>
      </c>
      <c r="L464" s="647" t="s">
        <v>5937</v>
      </c>
      <c r="M464" s="647" t="s">
        <v>3952</v>
      </c>
      <c r="N464" s="648">
        <v>40299</v>
      </c>
    </row>
    <row r="465" spans="1:14" x14ac:dyDescent="0.35">
      <c r="A465" s="647">
        <v>3380</v>
      </c>
      <c r="B465" s="647" t="s">
        <v>5938</v>
      </c>
      <c r="C465" s="647" t="s">
        <v>5939</v>
      </c>
      <c r="D465" s="647" t="s">
        <v>2897</v>
      </c>
      <c r="E465" s="647" t="s">
        <v>2868</v>
      </c>
      <c r="F465" s="647">
        <v>64836</v>
      </c>
      <c r="G465" s="647" t="s">
        <v>5940</v>
      </c>
      <c r="H465" s="647" t="s">
        <v>3994</v>
      </c>
      <c r="I465" s="647" t="s">
        <v>3925</v>
      </c>
      <c r="J465" s="647">
        <v>806383</v>
      </c>
      <c r="K465" s="647" t="s">
        <v>3956</v>
      </c>
      <c r="L465" s="647" t="s">
        <v>5941</v>
      </c>
      <c r="M465" s="647" t="s">
        <v>3826</v>
      </c>
      <c r="N465" s="648">
        <v>40405</v>
      </c>
    </row>
    <row r="466" spans="1:14" x14ac:dyDescent="0.35">
      <c r="A466" s="647">
        <v>3381</v>
      </c>
      <c r="B466" s="647" t="s">
        <v>5942</v>
      </c>
      <c r="C466" s="647" t="s">
        <v>5943</v>
      </c>
      <c r="D466" s="647" t="s">
        <v>2899</v>
      </c>
      <c r="E466" s="647" t="s">
        <v>2868</v>
      </c>
      <c r="F466" s="647">
        <v>63103</v>
      </c>
      <c r="G466" s="647" t="s">
        <v>5944</v>
      </c>
      <c r="H466" s="647" t="s">
        <v>3994</v>
      </c>
      <c r="I466" s="647" t="s">
        <v>3925</v>
      </c>
      <c r="J466" s="647">
        <v>54156191</v>
      </c>
      <c r="K466" s="647" t="s">
        <v>4628</v>
      </c>
      <c r="L466" s="647" t="s">
        <v>5945</v>
      </c>
      <c r="M466" s="647" t="s">
        <v>4078</v>
      </c>
      <c r="N466" s="648" t="e">
        <v>#N/A</v>
      </c>
    </row>
    <row r="467" spans="1:14" x14ac:dyDescent="0.35">
      <c r="A467" s="647">
        <v>3392</v>
      </c>
      <c r="B467" s="647" t="s">
        <v>5946</v>
      </c>
      <c r="C467" s="647" t="s">
        <v>5947</v>
      </c>
      <c r="D467" s="647" t="s">
        <v>2901</v>
      </c>
      <c r="E467" s="647" t="s">
        <v>2868</v>
      </c>
      <c r="F467" s="647">
        <v>65270</v>
      </c>
      <c r="G467" s="647" t="s">
        <v>5948</v>
      </c>
      <c r="H467" s="647" t="s">
        <v>5875</v>
      </c>
      <c r="I467" s="647" t="s">
        <v>3937</v>
      </c>
      <c r="J467" s="647">
        <v>875067</v>
      </c>
      <c r="K467" s="647" t="s">
        <v>4793</v>
      </c>
      <c r="L467" s="647" t="s">
        <v>5152</v>
      </c>
      <c r="M467" s="647" t="s">
        <v>3826</v>
      </c>
      <c r="N467" s="648">
        <v>40370</v>
      </c>
    </row>
    <row r="468" spans="1:14" x14ac:dyDescent="0.35">
      <c r="A468" s="647">
        <v>3431</v>
      </c>
      <c r="B468" s="647" t="s">
        <v>5949</v>
      </c>
      <c r="C468" s="647" t="s">
        <v>5950</v>
      </c>
      <c r="D468" s="647" t="s">
        <v>2903</v>
      </c>
      <c r="E468" s="647" t="s">
        <v>2868</v>
      </c>
      <c r="F468" s="647">
        <v>65233</v>
      </c>
      <c r="G468" s="647" t="s">
        <v>5951</v>
      </c>
      <c r="H468" s="649"/>
      <c r="I468" s="649"/>
      <c r="J468" s="647">
        <v>599174</v>
      </c>
      <c r="K468" s="647" t="s">
        <v>5786</v>
      </c>
      <c r="L468" s="647" t="s">
        <v>5952</v>
      </c>
      <c r="M468" s="647" t="s">
        <v>3826</v>
      </c>
      <c r="N468" s="648" t="e">
        <v>#N/A</v>
      </c>
    </row>
    <row r="469" spans="1:14" x14ac:dyDescent="0.35">
      <c r="A469" s="647">
        <v>3440</v>
      </c>
      <c r="B469" s="647" t="s">
        <v>5953</v>
      </c>
      <c r="C469" s="647" t="s">
        <v>5954</v>
      </c>
      <c r="D469" s="647" t="s">
        <v>2905</v>
      </c>
      <c r="E469" s="647" t="s">
        <v>2868</v>
      </c>
      <c r="F469" s="647">
        <v>64772</v>
      </c>
      <c r="G469" s="647" t="s">
        <v>5955</v>
      </c>
      <c r="H469" s="647" t="s">
        <v>5875</v>
      </c>
      <c r="I469" s="647" t="s">
        <v>3925</v>
      </c>
      <c r="J469" s="647">
        <v>381415</v>
      </c>
      <c r="K469" s="647" t="s">
        <v>4897</v>
      </c>
      <c r="L469" s="647" t="s">
        <v>5956</v>
      </c>
      <c r="M469" s="647" t="s">
        <v>3826</v>
      </c>
      <c r="N469" s="648">
        <v>40249</v>
      </c>
    </row>
    <row r="470" spans="1:14" x14ac:dyDescent="0.35">
      <c r="A470" s="647">
        <v>3441</v>
      </c>
      <c r="B470" s="647" t="s">
        <v>5957</v>
      </c>
      <c r="C470" s="647" t="s">
        <v>5958</v>
      </c>
      <c r="D470" s="647" t="s">
        <v>2907</v>
      </c>
      <c r="E470" s="647" t="s">
        <v>2868</v>
      </c>
      <c r="F470" s="647" t="s">
        <v>5959</v>
      </c>
      <c r="G470" s="647" t="s">
        <v>5960</v>
      </c>
      <c r="H470" s="647" t="s">
        <v>5875</v>
      </c>
      <c r="I470" s="647" t="s">
        <v>3925</v>
      </c>
      <c r="J470" s="647">
        <v>735858</v>
      </c>
      <c r="K470" s="647" t="s">
        <v>5961</v>
      </c>
      <c r="L470" s="647" t="s">
        <v>5962</v>
      </c>
      <c r="M470" s="647" t="s">
        <v>3826</v>
      </c>
      <c r="N470" s="648">
        <v>40330</v>
      </c>
    </row>
    <row r="471" spans="1:14" x14ac:dyDescent="0.35">
      <c r="A471" s="647">
        <v>3443</v>
      </c>
      <c r="B471" s="647" t="s">
        <v>5963</v>
      </c>
      <c r="C471" s="647" t="s">
        <v>5964</v>
      </c>
      <c r="D471" s="647" t="s">
        <v>2424</v>
      </c>
      <c r="E471" s="647" t="s">
        <v>2868</v>
      </c>
      <c r="F471" s="647">
        <v>65806</v>
      </c>
      <c r="G471" s="647" t="s">
        <v>5965</v>
      </c>
      <c r="H471" s="647" t="s">
        <v>5875</v>
      </c>
      <c r="I471" s="647" t="s">
        <v>3925</v>
      </c>
      <c r="J471" s="647">
        <v>9048439</v>
      </c>
      <c r="K471" s="647" t="s">
        <v>5019</v>
      </c>
      <c r="L471" s="647" t="s">
        <v>5966</v>
      </c>
      <c r="M471" s="647" t="s">
        <v>3826</v>
      </c>
      <c r="N471" s="648">
        <v>40360</v>
      </c>
    </row>
    <row r="472" spans="1:14" x14ac:dyDescent="0.35">
      <c r="A472" s="647">
        <v>3446</v>
      </c>
      <c r="B472" s="647" t="s">
        <v>5967</v>
      </c>
      <c r="C472" s="647" t="s">
        <v>5968</v>
      </c>
      <c r="D472" s="647" t="s">
        <v>2910</v>
      </c>
      <c r="E472" s="647" t="s">
        <v>2868</v>
      </c>
      <c r="F472" s="647">
        <v>65711</v>
      </c>
      <c r="G472" s="647" t="s">
        <v>5969</v>
      </c>
      <c r="H472" s="647" t="s">
        <v>5875</v>
      </c>
      <c r="I472" s="647" t="s">
        <v>3925</v>
      </c>
      <c r="J472" s="647">
        <v>1467506</v>
      </c>
      <c r="K472" s="647" t="s">
        <v>3918</v>
      </c>
      <c r="L472" s="647" t="s">
        <v>5970</v>
      </c>
      <c r="M472" s="647" t="s">
        <v>3826</v>
      </c>
      <c r="N472" s="648">
        <v>40269</v>
      </c>
    </row>
    <row r="473" spans="1:14" x14ac:dyDescent="0.35">
      <c r="A473" s="647">
        <v>3447</v>
      </c>
      <c r="B473" s="647" t="s">
        <v>5971</v>
      </c>
      <c r="C473" s="647" t="s">
        <v>5972</v>
      </c>
      <c r="D473" s="647" t="s">
        <v>2912</v>
      </c>
      <c r="E473" s="647" t="s">
        <v>2913</v>
      </c>
      <c r="F473" s="647">
        <v>59101</v>
      </c>
      <c r="G473" s="647" t="s">
        <v>5973</v>
      </c>
      <c r="H473" s="647" t="s">
        <v>3917</v>
      </c>
      <c r="I473" s="647" t="s">
        <v>3925</v>
      </c>
      <c r="J473" s="647">
        <v>2689027</v>
      </c>
      <c r="K473" s="647" t="s">
        <v>3978</v>
      </c>
      <c r="L473" s="647" t="s">
        <v>5974</v>
      </c>
      <c r="M473" s="647" t="s">
        <v>3826</v>
      </c>
      <c r="N473" s="648">
        <v>40422</v>
      </c>
    </row>
    <row r="474" spans="1:14" x14ac:dyDescent="0.35">
      <c r="A474" s="647">
        <v>3448</v>
      </c>
      <c r="B474" s="647" t="s">
        <v>5975</v>
      </c>
      <c r="C474" s="647" t="s">
        <v>5976</v>
      </c>
      <c r="D474" s="647" t="s">
        <v>2915</v>
      </c>
      <c r="E474" s="647" t="s">
        <v>2868</v>
      </c>
      <c r="F474" s="647" t="s">
        <v>5977</v>
      </c>
      <c r="G474" s="647" t="s">
        <v>5978</v>
      </c>
      <c r="H474" s="647" t="s">
        <v>3931</v>
      </c>
      <c r="I474" s="647" t="s">
        <v>3925</v>
      </c>
      <c r="J474" s="647">
        <v>433218</v>
      </c>
      <c r="K474" s="647" t="s">
        <v>4067</v>
      </c>
      <c r="L474" s="647" t="s">
        <v>5979</v>
      </c>
      <c r="M474" s="647" t="s">
        <v>3826</v>
      </c>
      <c r="N474" s="648">
        <v>40330</v>
      </c>
    </row>
    <row r="475" spans="1:14" x14ac:dyDescent="0.35">
      <c r="A475" s="647">
        <v>3451</v>
      </c>
      <c r="B475" s="647" t="s">
        <v>5980</v>
      </c>
      <c r="C475" s="647" t="s">
        <v>5981</v>
      </c>
      <c r="D475" s="647" t="s">
        <v>5982</v>
      </c>
      <c r="E475" s="647" t="s">
        <v>2913</v>
      </c>
      <c r="F475" s="647" t="s">
        <v>5983</v>
      </c>
      <c r="G475" s="647" t="s">
        <v>5984</v>
      </c>
      <c r="H475" s="647" t="s">
        <v>5315</v>
      </c>
      <c r="I475" s="647" t="s">
        <v>5582</v>
      </c>
      <c r="J475" s="647"/>
      <c r="K475" s="647" t="s">
        <v>5985</v>
      </c>
      <c r="L475" s="647" t="s">
        <v>5986</v>
      </c>
      <c r="M475" s="647" t="s">
        <v>3973</v>
      </c>
      <c r="N475" s="648" t="e">
        <v>#N/A</v>
      </c>
    </row>
    <row r="476" spans="1:14" x14ac:dyDescent="0.35">
      <c r="A476" s="647">
        <v>3458</v>
      </c>
      <c r="B476" s="647" t="s">
        <v>5987</v>
      </c>
      <c r="C476" s="647" t="s">
        <v>5988</v>
      </c>
      <c r="D476" s="647" t="s">
        <v>2917</v>
      </c>
      <c r="E476" s="647" t="s">
        <v>2913</v>
      </c>
      <c r="F476" s="647">
        <v>59725</v>
      </c>
      <c r="G476" s="647" t="s">
        <v>5989</v>
      </c>
      <c r="H476" s="647" t="s">
        <v>5315</v>
      </c>
      <c r="I476" s="649"/>
      <c r="J476" s="647">
        <v>573384</v>
      </c>
      <c r="K476" s="647" t="s">
        <v>5098</v>
      </c>
      <c r="L476" s="647" t="s">
        <v>5990</v>
      </c>
      <c r="M476" s="647" t="s">
        <v>3826</v>
      </c>
      <c r="N476" s="648" t="e">
        <v>#N/A</v>
      </c>
    </row>
    <row r="477" spans="1:14" x14ac:dyDescent="0.35">
      <c r="A477" s="647">
        <v>3459</v>
      </c>
      <c r="B477" s="647" t="s">
        <v>5991</v>
      </c>
      <c r="C477" s="647" t="s">
        <v>5992</v>
      </c>
      <c r="D477" s="647" t="s">
        <v>2919</v>
      </c>
      <c r="E477" s="647" t="s">
        <v>2913</v>
      </c>
      <c r="F477" s="647">
        <v>59601</v>
      </c>
      <c r="G477" s="647" t="s">
        <v>5993</v>
      </c>
      <c r="H477" s="649"/>
      <c r="I477" s="649"/>
      <c r="J477" s="647">
        <v>1262080</v>
      </c>
      <c r="K477" s="647" t="s">
        <v>4164</v>
      </c>
      <c r="L477" s="647" t="s">
        <v>4470</v>
      </c>
      <c r="M477" s="647" t="s">
        <v>3826</v>
      </c>
      <c r="N477" s="648" t="e">
        <v>#N/A</v>
      </c>
    </row>
    <row r="478" spans="1:14" x14ac:dyDescent="0.35">
      <c r="A478" s="647">
        <v>3461</v>
      </c>
      <c r="B478" s="647" t="s">
        <v>5994</v>
      </c>
      <c r="C478" s="647" t="s">
        <v>5995</v>
      </c>
      <c r="D478" s="647" t="s">
        <v>2921</v>
      </c>
      <c r="E478" s="647" t="s">
        <v>2913</v>
      </c>
      <c r="F478" s="647" t="s">
        <v>5996</v>
      </c>
      <c r="G478" s="647" t="s">
        <v>5997</v>
      </c>
      <c r="H478" s="647" t="s">
        <v>5315</v>
      </c>
      <c r="I478" s="647" t="s">
        <v>3925</v>
      </c>
      <c r="J478" s="647">
        <v>2851049</v>
      </c>
      <c r="K478" s="647" t="s">
        <v>4164</v>
      </c>
      <c r="L478" s="647" t="s">
        <v>5998</v>
      </c>
      <c r="M478" s="647" t="s">
        <v>3826</v>
      </c>
      <c r="N478" s="648">
        <v>40179</v>
      </c>
    </row>
    <row r="479" spans="1:14" x14ac:dyDescent="0.35">
      <c r="A479" s="647">
        <v>3462</v>
      </c>
      <c r="B479" s="647" t="s">
        <v>5999</v>
      </c>
      <c r="C479" s="647" t="s">
        <v>6000</v>
      </c>
      <c r="D479" s="647" t="s">
        <v>2923</v>
      </c>
      <c r="E479" s="647" t="s">
        <v>2913</v>
      </c>
      <c r="F479" s="647">
        <v>59718</v>
      </c>
      <c r="G479" s="647" t="s">
        <v>6001</v>
      </c>
      <c r="H479" s="647" t="s">
        <v>5315</v>
      </c>
      <c r="I479" s="647" t="s">
        <v>3995</v>
      </c>
      <c r="J479" s="647">
        <v>192845</v>
      </c>
      <c r="K479" s="647" t="s">
        <v>3632</v>
      </c>
      <c r="L479" s="647" t="s">
        <v>4014</v>
      </c>
      <c r="M479" s="647" t="s">
        <v>6002</v>
      </c>
      <c r="N479" s="648" t="e">
        <v>#N/A</v>
      </c>
    </row>
    <row r="480" spans="1:14" x14ac:dyDescent="0.35">
      <c r="A480" s="647">
        <v>3463</v>
      </c>
      <c r="B480" s="647" t="s">
        <v>6003</v>
      </c>
      <c r="C480" s="647" t="s">
        <v>6004</v>
      </c>
      <c r="D480" s="647" t="s">
        <v>6005</v>
      </c>
      <c r="E480" s="647" t="s">
        <v>2578</v>
      </c>
      <c r="F480" s="647" t="s">
        <v>6006</v>
      </c>
      <c r="G480" s="647" t="s">
        <v>6007</v>
      </c>
      <c r="H480" s="649"/>
      <c r="I480" s="649"/>
      <c r="J480" s="647"/>
      <c r="K480" s="647" t="s">
        <v>4241</v>
      </c>
      <c r="L480" s="647" t="s">
        <v>6008</v>
      </c>
      <c r="M480" s="647" t="s">
        <v>3826</v>
      </c>
      <c r="N480" s="648" t="e">
        <v>#N/A</v>
      </c>
    </row>
    <row r="481" spans="1:14" x14ac:dyDescent="0.35">
      <c r="A481" s="647">
        <v>3464</v>
      </c>
      <c r="B481" s="647" t="s">
        <v>6009</v>
      </c>
      <c r="C481" s="647" t="s">
        <v>5683</v>
      </c>
      <c r="D481" s="647" t="s">
        <v>2925</v>
      </c>
      <c r="E481" s="647" t="s">
        <v>2578</v>
      </c>
      <c r="F481" s="647" t="s">
        <v>6010</v>
      </c>
      <c r="G481" s="647" t="s">
        <v>6011</v>
      </c>
      <c r="H481" s="649"/>
      <c r="I481" s="649"/>
      <c r="J481" s="647">
        <v>245454</v>
      </c>
      <c r="K481" s="647" t="s">
        <v>6012</v>
      </c>
      <c r="L481" s="647" t="s">
        <v>5488</v>
      </c>
      <c r="M481" s="647" t="s">
        <v>3826</v>
      </c>
      <c r="N481" s="648" t="e">
        <v>#N/A</v>
      </c>
    </row>
    <row r="482" spans="1:14" x14ac:dyDescent="0.35">
      <c r="A482" s="647">
        <v>3465</v>
      </c>
      <c r="B482" s="647" t="s">
        <v>6013</v>
      </c>
      <c r="C482" s="647" t="s">
        <v>6014</v>
      </c>
      <c r="D482" s="647" t="s">
        <v>2295</v>
      </c>
      <c r="E482" s="647" t="s">
        <v>2578</v>
      </c>
      <c r="F482" s="647">
        <v>68601</v>
      </c>
      <c r="G482" s="647" t="s">
        <v>6015</v>
      </c>
      <c r="H482" s="649"/>
      <c r="I482" s="649"/>
      <c r="J482" s="647">
        <v>952716</v>
      </c>
      <c r="K482" s="647" t="s">
        <v>6016</v>
      </c>
      <c r="L482" s="647" t="s">
        <v>6017</v>
      </c>
      <c r="M482" s="647" t="s">
        <v>3826</v>
      </c>
      <c r="N482" s="648" t="e">
        <v>#N/A</v>
      </c>
    </row>
    <row r="483" spans="1:14" x14ac:dyDescent="0.35">
      <c r="A483" s="647">
        <v>3469</v>
      </c>
      <c r="B483" s="647" t="s">
        <v>6018</v>
      </c>
      <c r="C483" s="647" t="s">
        <v>6019</v>
      </c>
      <c r="D483" s="647" t="s">
        <v>2928</v>
      </c>
      <c r="E483" s="647" t="s">
        <v>2578</v>
      </c>
      <c r="F483" s="647" t="s">
        <v>6020</v>
      </c>
      <c r="G483" s="647" t="s">
        <v>6021</v>
      </c>
      <c r="H483" s="649"/>
      <c r="I483" s="649"/>
      <c r="J483" s="647">
        <v>2554527</v>
      </c>
      <c r="K483" s="647" t="s">
        <v>3824</v>
      </c>
      <c r="L483" s="647" t="s">
        <v>6022</v>
      </c>
      <c r="M483" s="647" t="s">
        <v>3826</v>
      </c>
      <c r="N483" s="648" t="e">
        <v>#N/A</v>
      </c>
    </row>
    <row r="484" spans="1:14" x14ac:dyDescent="0.35">
      <c r="A484" s="647">
        <v>3470</v>
      </c>
      <c r="B484" s="647" t="s">
        <v>6023</v>
      </c>
      <c r="C484" s="647" t="s">
        <v>6024</v>
      </c>
      <c r="D484" s="647" t="s">
        <v>2930</v>
      </c>
      <c r="E484" s="647" t="s">
        <v>2578</v>
      </c>
      <c r="F484" s="647">
        <v>68845</v>
      </c>
      <c r="G484" s="647" t="s">
        <v>6025</v>
      </c>
      <c r="H484" s="647" t="s">
        <v>3994</v>
      </c>
      <c r="I484" s="647" t="s">
        <v>4502</v>
      </c>
      <c r="J484" s="647">
        <v>1650995</v>
      </c>
      <c r="K484" s="647" t="s">
        <v>6026</v>
      </c>
      <c r="L484" s="647" t="s">
        <v>6027</v>
      </c>
      <c r="M484" s="647" t="s">
        <v>4078</v>
      </c>
      <c r="N484" s="648">
        <v>40179</v>
      </c>
    </row>
    <row r="485" spans="1:14" x14ac:dyDescent="0.35">
      <c r="A485" s="647">
        <v>3477</v>
      </c>
      <c r="B485" s="647" t="s">
        <v>6028</v>
      </c>
      <c r="C485" s="647" t="s">
        <v>6029</v>
      </c>
      <c r="D485" s="647" t="s">
        <v>2932</v>
      </c>
      <c r="E485" s="647" t="s">
        <v>2578</v>
      </c>
      <c r="F485" s="647" t="s">
        <v>6030</v>
      </c>
      <c r="G485" s="647" t="s">
        <v>6031</v>
      </c>
      <c r="H485" s="647" t="s">
        <v>3994</v>
      </c>
      <c r="I485" s="647" t="s">
        <v>4502</v>
      </c>
      <c r="J485" s="647">
        <v>1440372</v>
      </c>
      <c r="K485" s="647" t="s">
        <v>6032</v>
      </c>
      <c r="L485" s="647" t="s">
        <v>6033</v>
      </c>
      <c r="M485" s="647" t="s">
        <v>3826</v>
      </c>
      <c r="N485" s="648">
        <v>40179</v>
      </c>
    </row>
    <row r="486" spans="1:14" x14ac:dyDescent="0.35">
      <c r="A486" s="647">
        <v>3481</v>
      </c>
      <c r="B486" s="647" t="s">
        <v>6034</v>
      </c>
      <c r="C486" s="647" t="s">
        <v>6035</v>
      </c>
      <c r="D486" s="647" t="s">
        <v>2772</v>
      </c>
      <c r="E486" s="647" t="s">
        <v>2578</v>
      </c>
      <c r="F486" s="647" t="s">
        <v>6036</v>
      </c>
      <c r="G486" s="647" t="s">
        <v>6037</v>
      </c>
      <c r="H486" s="649"/>
      <c r="I486" s="649"/>
      <c r="J486" s="647">
        <v>1713402</v>
      </c>
      <c r="K486" s="647" t="s">
        <v>4453</v>
      </c>
      <c r="L486" s="647" t="s">
        <v>6038</v>
      </c>
      <c r="M486" s="647" t="s">
        <v>3826</v>
      </c>
      <c r="N486" s="648" t="e">
        <v>#N/A</v>
      </c>
    </row>
    <row r="487" spans="1:14" x14ac:dyDescent="0.35">
      <c r="A487" s="647">
        <v>3484</v>
      </c>
      <c r="B487" s="647" t="s">
        <v>6039</v>
      </c>
      <c r="C487" s="647" t="s">
        <v>6040</v>
      </c>
      <c r="D487" s="647" t="s">
        <v>2388</v>
      </c>
      <c r="E487" s="647" t="s">
        <v>2578</v>
      </c>
      <c r="F487" s="647" t="s">
        <v>6041</v>
      </c>
      <c r="G487" s="647" t="s">
        <v>6042</v>
      </c>
      <c r="H487" s="649"/>
      <c r="I487" s="649"/>
      <c r="J487" s="647">
        <v>8024085</v>
      </c>
      <c r="K487" s="647" t="s">
        <v>4199</v>
      </c>
      <c r="L487" s="647" t="s">
        <v>6043</v>
      </c>
      <c r="M487" s="647" t="s">
        <v>3836</v>
      </c>
      <c r="N487" s="648" t="e">
        <v>#N/A</v>
      </c>
    </row>
    <row r="488" spans="1:14" x14ac:dyDescent="0.35">
      <c r="A488" s="647">
        <v>3490</v>
      </c>
      <c r="B488" s="647" t="s">
        <v>6044</v>
      </c>
      <c r="C488" s="647" t="s">
        <v>6045</v>
      </c>
      <c r="D488" s="647" t="s">
        <v>2936</v>
      </c>
      <c r="E488" s="647" t="s">
        <v>2578</v>
      </c>
      <c r="F488" s="647">
        <v>68949</v>
      </c>
      <c r="G488" s="647" t="s">
        <v>6046</v>
      </c>
      <c r="H488" s="647" t="s">
        <v>3994</v>
      </c>
      <c r="I488" s="647" t="s">
        <v>3977</v>
      </c>
      <c r="J488" s="647">
        <v>847534</v>
      </c>
      <c r="K488" s="647" t="s">
        <v>4067</v>
      </c>
      <c r="L488" s="647" t="s">
        <v>6047</v>
      </c>
      <c r="M488" s="647" t="s">
        <v>3826</v>
      </c>
      <c r="N488" s="648">
        <v>40437</v>
      </c>
    </row>
    <row r="489" spans="1:14" x14ac:dyDescent="0.35">
      <c r="A489" s="647">
        <v>3501</v>
      </c>
      <c r="B489" s="647" t="s">
        <v>6048</v>
      </c>
      <c r="C489" s="647" t="s">
        <v>6049</v>
      </c>
      <c r="D489" s="647" t="s">
        <v>2938</v>
      </c>
      <c r="E489" s="647" t="s">
        <v>2578</v>
      </c>
      <c r="F489" s="647">
        <v>69001</v>
      </c>
      <c r="G489" s="647" t="s">
        <v>6050</v>
      </c>
      <c r="H489" s="649"/>
      <c r="I489" s="649"/>
      <c r="J489" s="647">
        <v>590629</v>
      </c>
      <c r="K489" s="647" t="s">
        <v>4453</v>
      </c>
      <c r="L489" s="647" t="s">
        <v>6051</v>
      </c>
      <c r="M489" s="647" t="s">
        <v>3826</v>
      </c>
      <c r="N489" s="648" t="e">
        <v>#N/A</v>
      </c>
    </row>
    <row r="490" spans="1:14" x14ac:dyDescent="0.35">
      <c r="A490" s="647">
        <v>3505</v>
      </c>
      <c r="B490" s="647" t="s">
        <v>6052</v>
      </c>
      <c r="C490" s="647" t="s">
        <v>6053</v>
      </c>
      <c r="D490" s="647" t="s">
        <v>2940</v>
      </c>
      <c r="E490" s="647" t="s">
        <v>2578</v>
      </c>
      <c r="F490" s="647" t="s">
        <v>6054</v>
      </c>
      <c r="G490" s="647" t="s">
        <v>6055</v>
      </c>
      <c r="H490" s="647" t="s">
        <v>3994</v>
      </c>
      <c r="I490" s="647" t="s">
        <v>3977</v>
      </c>
      <c r="J490" s="647">
        <v>1764951</v>
      </c>
      <c r="K490" s="647" t="s">
        <v>4563</v>
      </c>
      <c r="L490" s="647" t="s">
        <v>6056</v>
      </c>
      <c r="M490" s="647" t="s">
        <v>3826</v>
      </c>
      <c r="N490" s="648">
        <v>40452</v>
      </c>
    </row>
    <row r="491" spans="1:14" x14ac:dyDescent="0.35">
      <c r="A491" s="647">
        <v>3508</v>
      </c>
      <c r="B491" s="647" t="s">
        <v>6057</v>
      </c>
      <c r="C491" s="647" t="s">
        <v>6058</v>
      </c>
      <c r="D491" s="647" t="s">
        <v>2942</v>
      </c>
      <c r="E491" s="647" t="s">
        <v>2578</v>
      </c>
      <c r="F491" s="647">
        <v>68008</v>
      </c>
      <c r="G491" s="647" t="s">
        <v>6059</v>
      </c>
      <c r="H491" s="647" t="s">
        <v>3994</v>
      </c>
      <c r="I491" s="647" t="s">
        <v>3977</v>
      </c>
      <c r="J491" s="647">
        <v>1060113</v>
      </c>
      <c r="K491" s="647" t="s">
        <v>4241</v>
      </c>
      <c r="L491" s="647" t="s">
        <v>6008</v>
      </c>
      <c r="M491" s="647" t="s">
        <v>6060</v>
      </c>
      <c r="N491" s="648" t="e">
        <v>#N/A</v>
      </c>
    </row>
    <row r="492" spans="1:14" x14ac:dyDescent="0.35">
      <c r="A492" s="647">
        <v>3509</v>
      </c>
      <c r="B492" s="647" t="s">
        <v>6061</v>
      </c>
      <c r="C492" s="647" t="s">
        <v>6062</v>
      </c>
      <c r="D492" s="647" t="s">
        <v>2944</v>
      </c>
      <c r="E492" s="647" t="s">
        <v>2578</v>
      </c>
      <c r="F492" s="647">
        <v>68102</v>
      </c>
      <c r="G492" s="647" t="s">
        <v>6063</v>
      </c>
      <c r="H492" s="647" t="s">
        <v>4117</v>
      </c>
      <c r="I492" s="647" t="s">
        <v>3977</v>
      </c>
      <c r="J492" s="647">
        <v>15683057</v>
      </c>
      <c r="K492" s="647" t="s">
        <v>6064</v>
      </c>
      <c r="L492" s="647" t="s">
        <v>2082</v>
      </c>
      <c r="M492" s="647" t="s">
        <v>3826</v>
      </c>
      <c r="N492" s="648">
        <v>40179</v>
      </c>
    </row>
    <row r="493" spans="1:14" x14ac:dyDescent="0.35">
      <c r="A493" s="647">
        <v>3537</v>
      </c>
      <c r="B493" s="647" t="s">
        <v>6065</v>
      </c>
      <c r="C493" s="647" t="s">
        <v>6066</v>
      </c>
      <c r="D493" s="647" t="s">
        <v>2946</v>
      </c>
      <c r="E493" s="647" t="s">
        <v>2578</v>
      </c>
      <c r="F493" s="647">
        <v>69363</v>
      </c>
      <c r="G493" s="647" t="s">
        <v>6067</v>
      </c>
      <c r="H493" s="647" t="s">
        <v>3994</v>
      </c>
      <c r="I493" s="647" t="s">
        <v>4502</v>
      </c>
      <c r="J493" s="647">
        <v>1625732</v>
      </c>
      <c r="K493" s="647" t="s">
        <v>3945</v>
      </c>
      <c r="L493" s="647" t="s">
        <v>6068</v>
      </c>
      <c r="M493" s="647" t="s">
        <v>6060</v>
      </c>
      <c r="N493" s="648">
        <v>40374</v>
      </c>
    </row>
    <row r="494" spans="1:14" x14ac:dyDescent="0.35">
      <c r="A494" s="647">
        <v>3541</v>
      </c>
      <c r="B494" s="647" t="s">
        <v>6069</v>
      </c>
      <c r="C494" s="647" t="s">
        <v>6070</v>
      </c>
      <c r="D494" s="647" t="s">
        <v>2948</v>
      </c>
      <c r="E494" s="647" t="s">
        <v>2949</v>
      </c>
      <c r="F494" s="647" t="s">
        <v>6071</v>
      </c>
      <c r="G494" s="647" t="s">
        <v>6072</v>
      </c>
      <c r="H494" s="647" t="s">
        <v>3994</v>
      </c>
      <c r="I494" s="647" t="s">
        <v>3937</v>
      </c>
      <c r="J494" s="647">
        <v>6373083</v>
      </c>
      <c r="K494" s="647" t="s">
        <v>4044</v>
      </c>
      <c r="L494" s="647" t="s">
        <v>6073</v>
      </c>
      <c r="M494" s="647" t="s">
        <v>3826</v>
      </c>
      <c r="N494" s="648">
        <v>40360</v>
      </c>
    </row>
    <row r="495" spans="1:14" x14ac:dyDescent="0.35">
      <c r="A495" s="647">
        <v>3545</v>
      </c>
      <c r="B495" s="647" t="s">
        <v>6074</v>
      </c>
      <c r="C495" s="647" t="s">
        <v>6075</v>
      </c>
      <c r="D495" s="647" t="s">
        <v>6076</v>
      </c>
      <c r="E495" s="647" t="s">
        <v>2949</v>
      </c>
      <c r="F495" s="647">
        <v>89434</v>
      </c>
      <c r="G495" s="647" t="s">
        <v>6077</v>
      </c>
      <c r="H495" s="647" t="s">
        <v>3994</v>
      </c>
      <c r="I495" s="647" t="s">
        <v>3937</v>
      </c>
      <c r="J495" s="647">
        <v>1881532</v>
      </c>
      <c r="K495" s="647" t="s">
        <v>3860</v>
      </c>
      <c r="L495" s="647" t="s">
        <v>6078</v>
      </c>
      <c r="M495" s="647" t="s">
        <v>3826</v>
      </c>
      <c r="N495" s="648">
        <v>40178</v>
      </c>
    </row>
    <row r="496" spans="1:14" x14ac:dyDescent="0.35">
      <c r="A496" s="647">
        <v>3558</v>
      </c>
      <c r="B496" s="647" t="s">
        <v>6079</v>
      </c>
      <c r="C496" s="647" t="s">
        <v>6080</v>
      </c>
      <c r="D496" s="647" t="s">
        <v>2953</v>
      </c>
      <c r="E496" s="647" t="s">
        <v>2180</v>
      </c>
      <c r="F496" s="647">
        <v>3894</v>
      </c>
      <c r="G496" s="647" t="s">
        <v>6081</v>
      </c>
      <c r="H496" s="647" t="s">
        <v>5315</v>
      </c>
      <c r="I496" s="647" t="s">
        <v>4253</v>
      </c>
      <c r="J496" s="647">
        <v>1550011</v>
      </c>
      <c r="K496" s="647" t="s">
        <v>5899</v>
      </c>
      <c r="L496" s="647" t="s">
        <v>5039</v>
      </c>
      <c r="M496" s="647" t="s">
        <v>4078</v>
      </c>
      <c r="N496" s="648" t="e">
        <v>#N/A</v>
      </c>
    </row>
    <row r="497" spans="1:14" x14ac:dyDescent="0.35">
      <c r="A497" s="647">
        <v>3560</v>
      </c>
      <c r="B497" s="647" t="s">
        <v>6082</v>
      </c>
      <c r="C497" s="647" t="s">
        <v>6083</v>
      </c>
      <c r="D497" s="647" t="s">
        <v>2679</v>
      </c>
      <c r="E497" s="647" t="s">
        <v>2180</v>
      </c>
      <c r="F497" s="647" t="s">
        <v>6084</v>
      </c>
      <c r="G497" s="647" t="s">
        <v>6085</v>
      </c>
      <c r="H497" s="649"/>
      <c r="I497" s="649"/>
      <c r="J497" s="647">
        <v>117080</v>
      </c>
      <c r="K497" s="647" t="s">
        <v>6086</v>
      </c>
      <c r="L497" s="647" t="s">
        <v>6087</v>
      </c>
      <c r="M497" s="647" t="s">
        <v>3826</v>
      </c>
      <c r="N497" s="648" t="e">
        <v>#N/A</v>
      </c>
    </row>
    <row r="498" spans="1:14" x14ac:dyDescent="0.35">
      <c r="A498" s="647">
        <v>3565</v>
      </c>
      <c r="B498" s="647" t="s">
        <v>6088</v>
      </c>
      <c r="C498" s="647" t="s">
        <v>6089</v>
      </c>
      <c r="D498" s="647" t="s">
        <v>2956</v>
      </c>
      <c r="E498" s="647" t="s">
        <v>2180</v>
      </c>
      <c r="F498" s="647" t="s">
        <v>6090</v>
      </c>
      <c r="G498" s="647" t="s">
        <v>6091</v>
      </c>
      <c r="H498" s="649"/>
      <c r="I498" s="649"/>
      <c r="J498" s="647">
        <v>1545138</v>
      </c>
      <c r="K498" s="647" t="s">
        <v>6092</v>
      </c>
      <c r="L498" s="647" t="s">
        <v>6093</v>
      </c>
      <c r="M498" s="647" t="s">
        <v>3826</v>
      </c>
      <c r="N498" s="648" t="e">
        <v>#N/A</v>
      </c>
    </row>
    <row r="499" spans="1:14" x14ac:dyDescent="0.35">
      <c r="A499" s="647">
        <v>3569</v>
      </c>
      <c r="B499" s="647" t="s">
        <v>6094</v>
      </c>
      <c r="C499" s="647" t="s">
        <v>6095</v>
      </c>
      <c r="D499" s="647" t="s">
        <v>2962</v>
      </c>
      <c r="E499" s="647" t="s">
        <v>2180</v>
      </c>
      <c r="F499" s="647" t="s">
        <v>6096</v>
      </c>
      <c r="G499" s="647" t="s">
        <v>6097</v>
      </c>
      <c r="H499" s="647" t="s">
        <v>4247</v>
      </c>
      <c r="I499" s="647" t="s">
        <v>4253</v>
      </c>
      <c r="J499" s="647">
        <v>1487170</v>
      </c>
      <c r="K499" s="647" t="s">
        <v>4052</v>
      </c>
      <c r="L499" s="647" t="s">
        <v>6098</v>
      </c>
      <c r="M499" s="647" t="s">
        <v>5366</v>
      </c>
      <c r="N499" s="648">
        <v>40178</v>
      </c>
    </row>
    <row r="500" spans="1:14" x14ac:dyDescent="0.35">
      <c r="A500" s="647">
        <v>3573</v>
      </c>
      <c r="B500" s="647" t="s">
        <v>6099</v>
      </c>
      <c r="C500" s="647" t="s">
        <v>6100</v>
      </c>
      <c r="D500" s="647" t="s">
        <v>2960</v>
      </c>
      <c r="E500" s="647" t="s">
        <v>2180</v>
      </c>
      <c r="F500" s="647">
        <v>3301</v>
      </c>
      <c r="G500" s="647" t="s">
        <v>6101</v>
      </c>
      <c r="H500" s="647" t="s">
        <v>4247</v>
      </c>
      <c r="I500" s="647" t="s">
        <v>4264</v>
      </c>
      <c r="J500" s="647">
        <v>2249553</v>
      </c>
      <c r="K500" s="647" t="s">
        <v>3835</v>
      </c>
      <c r="L500" s="647" t="s">
        <v>6102</v>
      </c>
      <c r="M500" s="647" t="s">
        <v>4078</v>
      </c>
      <c r="N500" s="648">
        <v>40391</v>
      </c>
    </row>
    <row r="501" spans="1:14" x14ac:dyDescent="0.35">
      <c r="A501" s="647">
        <v>3577</v>
      </c>
      <c r="B501" s="647" t="s">
        <v>6103</v>
      </c>
      <c r="C501" s="647" t="s">
        <v>6104</v>
      </c>
      <c r="D501" s="647" t="s">
        <v>2962</v>
      </c>
      <c r="E501" s="647" t="s">
        <v>2180</v>
      </c>
      <c r="F501" s="647" t="s">
        <v>6105</v>
      </c>
      <c r="G501" s="647" t="s">
        <v>6106</v>
      </c>
      <c r="H501" s="647" t="s">
        <v>4247</v>
      </c>
      <c r="I501" s="647" t="s">
        <v>4279</v>
      </c>
      <c r="J501" s="647">
        <v>1526706</v>
      </c>
      <c r="K501" s="647" t="s">
        <v>6107</v>
      </c>
      <c r="L501" s="647" t="s">
        <v>6108</v>
      </c>
      <c r="M501" s="647" t="s">
        <v>3826</v>
      </c>
      <c r="N501" s="648">
        <v>40422</v>
      </c>
    </row>
    <row r="502" spans="1:14" x14ac:dyDescent="0.35">
      <c r="A502" s="647">
        <v>3585</v>
      </c>
      <c r="B502" s="647" t="s">
        <v>6109</v>
      </c>
      <c r="C502" s="647" t="s">
        <v>6110</v>
      </c>
      <c r="D502" s="647" t="s">
        <v>2964</v>
      </c>
      <c r="E502" s="647" t="s">
        <v>2180</v>
      </c>
      <c r="F502" s="647">
        <v>3101</v>
      </c>
      <c r="G502" s="647" t="s">
        <v>6111</v>
      </c>
      <c r="H502" s="647" t="s">
        <v>4247</v>
      </c>
      <c r="I502" s="647" t="s">
        <v>4253</v>
      </c>
      <c r="J502" s="647">
        <v>9142666</v>
      </c>
      <c r="K502" s="647" t="s">
        <v>6112</v>
      </c>
      <c r="L502" s="647" t="s">
        <v>4072</v>
      </c>
      <c r="M502" s="647" t="s">
        <v>6113</v>
      </c>
      <c r="N502" s="648">
        <v>40330</v>
      </c>
    </row>
    <row r="503" spans="1:14" x14ac:dyDescent="0.35">
      <c r="A503" s="647">
        <v>3589</v>
      </c>
      <c r="B503" s="647" t="s">
        <v>6114</v>
      </c>
      <c r="C503" s="647" t="s">
        <v>6115</v>
      </c>
      <c r="D503" s="647" t="s">
        <v>2966</v>
      </c>
      <c r="E503" s="647" t="s">
        <v>2180</v>
      </c>
      <c r="F503" s="647">
        <v>3054</v>
      </c>
      <c r="G503" s="647" t="s">
        <v>6116</v>
      </c>
      <c r="H503" s="647" t="s">
        <v>4247</v>
      </c>
      <c r="I503" s="647" t="s">
        <v>4279</v>
      </c>
      <c r="J503" s="647">
        <v>5709095</v>
      </c>
      <c r="K503" s="647" t="s">
        <v>4044</v>
      </c>
      <c r="L503" s="647" t="s">
        <v>6117</v>
      </c>
      <c r="M503" s="647" t="s">
        <v>3826</v>
      </c>
      <c r="N503" s="648">
        <v>40422</v>
      </c>
    </row>
    <row r="504" spans="1:14" x14ac:dyDescent="0.35">
      <c r="A504" s="647">
        <v>3597</v>
      </c>
      <c r="B504" s="647" t="s">
        <v>6118</v>
      </c>
      <c r="C504" s="647" t="s">
        <v>6119</v>
      </c>
      <c r="D504" s="647" t="s">
        <v>2968</v>
      </c>
      <c r="E504" s="647" t="s">
        <v>2180</v>
      </c>
      <c r="F504" s="647">
        <v>3801</v>
      </c>
      <c r="G504" s="647" t="s">
        <v>6120</v>
      </c>
      <c r="H504" s="647" t="s">
        <v>5315</v>
      </c>
      <c r="I504" s="647" t="s">
        <v>5565</v>
      </c>
      <c r="J504" s="647">
        <v>1296984</v>
      </c>
      <c r="K504" s="647" t="s">
        <v>4302</v>
      </c>
      <c r="L504" s="647" t="s">
        <v>6121</v>
      </c>
      <c r="M504" s="647" t="s">
        <v>4078</v>
      </c>
      <c r="N504" s="648" t="e">
        <v>#N/A</v>
      </c>
    </row>
    <row r="505" spans="1:14" x14ac:dyDescent="0.35">
      <c r="A505" s="647">
        <v>3601</v>
      </c>
      <c r="B505" s="647" t="s">
        <v>6122</v>
      </c>
      <c r="C505" s="647" t="s">
        <v>6123</v>
      </c>
      <c r="D505" s="647" t="s">
        <v>2970</v>
      </c>
      <c r="E505" s="647" t="s">
        <v>2180</v>
      </c>
      <c r="F505" s="647">
        <v>6489</v>
      </c>
      <c r="G505" s="647" t="s">
        <v>6124</v>
      </c>
      <c r="H505" s="647" t="s">
        <v>4247</v>
      </c>
      <c r="I505" s="647" t="s">
        <v>4279</v>
      </c>
      <c r="J505" s="647"/>
      <c r="K505" s="647" t="s">
        <v>3830</v>
      </c>
      <c r="L505" s="647" t="s">
        <v>6125</v>
      </c>
      <c r="M505" s="647" t="s">
        <v>4078</v>
      </c>
      <c r="N505" s="648">
        <v>40269</v>
      </c>
    </row>
    <row r="506" spans="1:14" x14ac:dyDescent="0.35">
      <c r="A506" s="647">
        <v>3629</v>
      </c>
      <c r="B506" s="647" t="s">
        <v>6126</v>
      </c>
      <c r="C506" s="647" t="s">
        <v>6127</v>
      </c>
      <c r="D506" s="647" t="s">
        <v>2972</v>
      </c>
      <c r="E506" s="647" t="s">
        <v>2973</v>
      </c>
      <c r="F506" s="647">
        <v>7002</v>
      </c>
      <c r="G506" s="647" t="s">
        <v>6128</v>
      </c>
      <c r="H506" s="647" t="s">
        <v>4006</v>
      </c>
      <c r="I506" s="647" t="s">
        <v>4279</v>
      </c>
      <c r="J506" s="647"/>
      <c r="K506" s="647" t="s">
        <v>4479</v>
      </c>
      <c r="L506" s="647" t="s">
        <v>6129</v>
      </c>
      <c r="M506" s="647" t="s">
        <v>3826</v>
      </c>
      <c r="N506" s="648">
        <v>40384</v>
      </c>
    </row>
    <row r="507" spans="1:14" x14ac:dyDescent="0.35">
      <c r="A507" s="647">
        <v>3641</v>
      </c>
      <c r="B507" s="647" t="s">
        <v>6130</v>
      </c>
      <c r="C507" s="647" t="s">
        <v>6131</v>
      </c>
      <c r="D507" s="647" t="s">
        <v>2975</v>
      </c>
      <c r="E507" s="647" t="s">
        <v>2973</v>
      </c>
      <c r="F507" s="647">
        <v>8054</v>
      </c>
      <c r="G507" s="647" t="s">
        <v>6132</v>
      </c>
      <c r="H507" s="647" t="s">
        <v>4006</v>
      </c>
      <c r="I507" s="647" t="s">
        <v>4264</v>
      </c>
      <c r="J507" s="647">
        <v>8142418</v>
      </c>
      <c r="K507" s="647" t="s">
        <v>4030</v>
      </c>
      <c r="L507" s="647" t="s">
        <v>6133</v>
      </c>
      <c r="M507" s="647" t="s">
        <v>3826</v>
      </c>
      <c r="N507" s="648">
        <v>40360</v>
      </c>
    </row>
    <row r="508" spans="1:14" x14ac:dyDescent="0.35">
      <c r="A508" s="647">
        <v>3653</v>
      </c>
      <c r="B508" s="647" t="s">
        <v>6134</v>
      </c>
      <c r="C508" s="647" t="s">
        <v>6135</v>
      </c>
      <c r="D508" s="647" t="s">
        <v>6136</v>
      </c>
      <c r="E508" s="647" t="s">
        <v>2973</v>
      </c>
      <c r="F508" s="647">
        <v>8008</v>
      </c>
      <c r="G508" s="647" t="s">
        <v>6137</v>
      </c>
      <c r="H508" s="647" t="s">
        <v>4006</v>
      </c>
      <c r="I508" s="647" t="s">
        <v>4083</v>
      </c>
      <c r="J508" s="647"/>
      <c r="K508" s="647" t="s">
        <v>6138</v>
      </c>
      <c r="L508" s="647" t="s">
        <v>6139</v>
      </c>
      <c r="M508" s="647" t="s">
        <v>6140</v>
      </c>
      <c r="N508" s="648" t="e">
        <v>#N/A</v>
      </c>
    </row>
    <row r="509" spans="1:14" x14ac:dyDescent="0.35">
      <c r="A509" s="647">
        <v>3669</v>
      </c>
      <c r="B509" s="647" t="s">
        <v>6141</v>
      </c>
      <c r="C509" s="647" t="s">
        <v>6142</v>
      </c>
      <c r="D509" s="647" t="s">
        <v>2977</v>
      </c>
      <c r="E509" s="647" t="s">
        <v>2973</v>
      </c>
      <c r="F509" s="647" t="s">
        <v>6143</v>
      </c>
      <c r="G509" s="647" t="s">
        <v>6144</v>
      </c>
      <c r="H509" s="647" t="s">
        <v>5875</v>
      </c>
      <c r="I509" s="647" t="s">
        <v>4253</v>
      </c>
      <c r="J509" s="647">
        <v>2722382</v>
      </c>
      <c r="K509" s="647" t="s">
        <v>4503</v>
      </c>
      <c r="L509" s="647" t="s">
        <v>6145</v>
      </c>
      <c r="M509" s="647" t="s">
        <v>4078</v>
      </c>
      <c r="N509" s="648">
        <v>40148</v>
      </c>
    </row>
    <row r="510" spans="1:14" x14ac:dyDescent="0.35">
      <c r="A510" s="647">
        <v>3673</v>
      </c>
      <c r="B510" s="647" t="s">
        <v>6146</v>
      </c>
      <c r="C510" s="647" t="s">
        <v>6147</v>
      </c>
      <c r="D510" s="647" t="s">
        <v>2979</v>
      </c>
      <c r="E510" s="647" t="s">
        <v>2973</v>
      </c>
      <c r="F510" s="647" t="s">
        <v>6148</v>
      </c>
      <c r="G510" s="647" t="s">
        <v>6149</v>
      </c>
      <c r="H510" s="649"/>
      <c r="I510" s="649"/>
      <c r="J510" s="647">
        <v>12397555</v>
      </c>
      <c r="K510" s="647" t="s">
        <v>5321</v>
      </c>
      <c r="L510" s="647" t="s">
        <v>6150</v>
      </c>
      <c r="M510" s="647" t="s">
        <v>3826</v>
      </c>
      <c r="N510" s="648" t="e">
        <v>#N/A</v>
      </c>
    </row>
    <row r="511" spans="1:14" x14ac:dyDescent="0.35">
      <c r="A511" s="647">
        <v>3685</v>
      </c>
      <c r="B511" s="647" t="s">
        <v>6151</v>
      </c>
      <c r="C511" s="647" t="s">
        <v>6152</v>
      </c>
      <c r="D511" s="647" t="s">
        <v>2981</v>
      </c>
      <c r="E511" s="647" t="s">
        <v>2973</v>
      </c>
      <c r="F511" s="647">
        <v>7076</v>
      </c>
      <c r="G511" s="647" t="s">
        <v>6153</v>
      </c>
      <c r="H511" s="647" t="s">
        <v>5875</v>
      </c>
      <c r="I511" s="647" t="s">
        <v>4279</v>
      </c>
      <c r="J511" s="647">
        <v>5498438</v>
      </c>
      <c r="K511" s="647" t="s">
        <v>6154</v>
      </c>
      <c r="L511" s="647" t="s">
        <v>6155</v>
      </c>
      <c r="M511" s="647" t="s">
        <v>3826</v>
      </c>
      <c r="N511" s="648">
        <v>40283</v>
      </c>
    </row>
    <row r="512" spans="1:14" x14ac:dyDescent="0.35">
      <c r="A512" s="647">
        <v>3689</v>
      </c>
      <c r="B512" s="647" t="s">
        <v>6156</v>
      </c>
      <c r="C512" s="647" t="s">
        <v>6157</v>
      </c>
      <c r="D512" s="647" t="s">
        <v>2983</v>
      </c>
      <c r="E512" s="647" t="s">
        <v>2973</v>
      </c>
      <c r="F512" s="647">
        <v>7728</v>
      </c>
      <c r="G512" s="647" t="s">
        <v>6158</v>
      </c>
      <c r="H512" s="647" t="s">
        <v>5875</v>
      </c>
      <c r="I512" s="647" t="s">
        <v>4279</v>
      </c>
      <c r="J512" s="647">
        <v>8716875</v>
      </c>
      <c r="K512" s="647" t="s">
        <v>6159</v>
      </c>
      <c r="L512" s="647" t="s">
        <v>6160</v>
      </c>
      <c r="M512" s="647" t="s">
        <v>3826</v>
      </c>
      <c r="N512" s="648">
        <v>40268</v>
      </c>
    </row>
    <row r="513" spans="1:14" x14ac:dyDescent="0.35">
      <c r="A513" s="647">
        <v>3693</v>
      </c>
      <c r="B513" s="647" t="s">
        <v>6161</v>
      </c>
      <c r="C513" s="647" t="s">
        <v>6162</v>
      </c>
      <c r="D513" s="647" t="s">
        <v>2985</v>
      </c>
      <c r="E513" s="647" t="s">
        <v>2973</v>
      </c>
      <c r="F513" s="647">
        <v>8096</v>
      </c>
      <c r="G513" s="647" t="s">
        <v>6163</v>
      </c>
      <c r="H513" s="647" t="s">
        <v>5875</v>
      </c>
      <c r="I513" s="647" t="s">
        <v>4264</v>
      </c>
      <c r="J513" s="647">
        <v>1969542</v>
      </c>
      <c r="K513" s="647" t="s">
        <v>3860</v>
      </c>
      <c r="L513" s="647" t="s">
        <v>3919</v>
      </c>
      <c r="M513" s="647" t="s">
        <v>3826</v>
      </c>
      <c r="N513" s="648">
        <v>40378</v>
      </c>
    </row>
    <row r="514" spans="1:14" x14ac:dyDescent="0.35">
      <c r="A514" s="647">
        <v>3705</v>
      </c>
      <c r="B514" s="647" t="s">
        <v>6164</v>
      </c>
      <c r="C514" s="647" t="s">
        <v>6165</v>
      </c>
      <c r="D514" s="647" t="s">
        <v>2987</v>
      </c>
      <c r="E514" s="647" t="s">
        <v>2973</v>
      </c>
      <c r="F514" s="647">
        <v>7601</v>
      </c>
      <c r="G514" s="647" t="s">
        <v>6166</v>
      </c>
      <c r="H514" s="647" t="s">
        <v>3924</v>
      </c>
      <c r="I514" s="647" t="s">
        <v>4083</v>
      </c>
      <c r="J514" s="647">
        <v>3381914</v>
      </c>
      <c r="K514" s="647" t="s">
        <v>4700</v>
      </c>
      <c r="L514" s="647" t="s">
        <v>6167</v>
      </c>
      <c r="M514" s="647" t="s">
        <v>3826</v>
      </c>
      <c r="N514" s="648" t="e">
        <v>#N/A</v>
      </c>
    </row>
    <row r="515" spans="1:14" x14ac:dyDescent="0.35">
      <c r="A515" s="647">
        <v>3725</v>
      </c>
      <c r="B515" s="647" t="s">
        <v>6168</v>
      </c>
      <c r="C515" s="647" t="s">
        <v>6169</v>
      </c>
      <c r="D515" s="647" t="s">
        <v>2989</v>
      </c>
      <c r="E515" s="647" t="s">
        <v>2973</v>
      </c>
      <c r="F515" s="647" t="s">
        <v>6170</v>
      </c>
      <c r="G515" s="647" t="s">
        <v>6171</v>
      </c>
      <c r="H515" s="647" t="s">
        <v>5875</v>
      </c>
      <c r="I515" s="647" t="s">
        <v>4253</v>
      </c>
      <c r="J515" s="647">
        <v>3030497</v>
      </c>
      <c r="K515" s="647" t="s">
        <v>4076</v>
      </c>
      <c r="L515" s="647" t="s">
        <v>6172</v>
      </c>
      <c r="M515" s="647" t="s">
        <v>4078</v>
      </c>
      <c r="N515" s="648">
        <v>40360</v>
      </c>
    </row>
    <row r="516" spans="1:14" x14ac:dyDescent="0.35">
      <c r="A516" s="647">
        <v>3729</v>
      </c>
      <c r="B516" s="647" t="s">
        <v>6173</v>
      </c>
      <c r="C516" s="647" t="s">
        <v>6174</v>
      </c>
      <c r="D516" s="647" t="s">
        <v>2991</v>
      </c>
      <c r="E516" s="647" t="s">
        <v>2973</v>
      </c>
      <c r="F516" s="647">
        <v>53066</v>
      </c>
      <c r="G516" s="647" t="s">
        <v>6175</v>
      </c>
      <c r="H516" s="647" t="s">
        <v>3924</v>
      </c>
      <c r="I516" s="647" t="s">
        <v>5582</v>
      </c>
      <c r="J516" s="647">
        <v>15111509</v>
      </c>
      <c r="K516" s="647" t="s">
        <v>4910</v>
      </c>
      <c r="L516" s="647" t="s">
        <v>6176</v>
      </c>
      <c r="M516" s="647" t="s">
        <v>3826</v>
      </c>
      <c r="N516" s="648" t="e">
        <v>#N/A</v>
      </c>
    </row>
    <row r="517" spans="1:14" x14ac:dyDescent="0.35">
      <c r="A517" s="647">
        <v>3733</v>
      </c>
      <c r="B517" s="647" t="s">
        <v>6177</v>
      </c>
      <c r="C517" s="647" t="s">
        <v>6178</v>
      </c>
      <c r="D517" s="647" t="s">
        <v>2993</v>
      </c>
      <c r="E517" s="647" t="s">
        <v>2973</v>
      </c>
      <c r="F517" s="647" t="s">
        <v>6179</v>
      </c>
      <c r="G517" s="647" t="s">
        <v>6180</v>
      </c>
      <c r="H517" s="647" t="s">
        <v>5875</v>
      </c>
      <c r="I517" s="647" t="s">
        <v>4279</v>
      </c>
      <c r="J517" s="647">
        <v>1209525</v>
      </c>
      <c r="K517" s="647" t="s">
        <v>4966</v>
      </c>
      <c r="L517" s="647" t="s">
        <v>6181</v>
      </c>
      <c r="M517" s="647" t="s">
        <v>4078</v>
      </c>
      <c r="N517" s="648">
        <v>40268</v>
      </c>
    </row>
    <row r="518" spans="1:14" x14ac:dyDescent="0.35">
      <c r="A518" s="647">
        <v>3741</v>
      </c>
      <c r="B518" s="647" t="s">
        <v>6182</v>
      </c>
      <c r="C518" s="647" t="s">
        <v>6183</v>
      </c>
      <c r="D518" s="647" t="s">
        <v>2995</v>
      </c>
      <c r="E518" s="647" t="s">
        <v>2973</v>
      </c>
      <c r="F518" s="647">
        <v>8801</v>
      </c>
      <c r="G518" s="647" t="s">
        <v>6184</v>
      </c>
      <c r="H518" s="647" t="s">
        <v>5875</v>
      </c>
      <c r="I518" s="647" t="s">
        <v>4264</v>
      </c>
      <c r="J518" s="647">
        <v>8401792</v>
      </c>
      <c r="K518" s="647" t="s">
        <v>5033</v>
      </c>
      <c r="L518" s="647" t="s">
        <v>384</v>
      </c>
      <c r="M518" s="647" t="s">
        <v>3826</v>
      </c>
      <c r="N518" s="648">
        <v>40178</v>
      </c>
    </row>
    <row r="519" spans="1:14" x14ac:dyDescent="0.35">
      <c r="A519" s="647">
        <v>3753</v>
      </c>
      <c r="B519" s="647" t="s">
        <v>6185</v>
      </c>
      <c r="C519" s="647" t="s">
        <v>6186</v>
      </c>
      <c r="D519" s="647" t="s">
        <v>2997</v>
      </c>
      <c r="E519" s="647" t="s">
        <v>2973</v>
      </c>
      <c r="F519" s="647" t="s">
        <v>6187</v>
      </c>
      <c r="G519" s="647" t="s">
        <v>6188</v>
      </c>
      <c r="H519" s="647" t="s">
        <v>5875</v>
      </c>
      <c r="I519" s="647" t="s">
        <v>4279</v>
      </c>
      <c r="J519" s="647">
        <v>6760007</v>
      </c>
      <c r="K519" s="647" t="s">
        <v>5085</v>
      </c>
      <c r="L519" s="647" t="s">
        <v>6189</v>
      </c>
      <c r="M519" s="647" t="s">
        <v>4221</v>
      </c>
      <c r="N519" s="648">
        <v>40268</v>
      </c>
    </row>
    <row r="520" spans="1:14" x14ac:dyDescent="0.35">
      <c r="A520" s="647">
        <v>3757</v>
      </c>
      <c r="B520" s="647" t="s">
        <v>6190</v>
      </c>
      <c r="C520" s="647" t="s">
        <v>6191</v>
      </c>
      <c r="D520" s="647" t="s">
        <v>2999</v>
      </c>
      <c r="E520" s="647" t="s">
        <v>2973</v>
      </c>
      <c r="F520" s="647">
        <v>7940</v>
      </c>
      <c r="G520" s="647" t="s">
        <v>6192</v>
      </c>
      <c r="H520" s="647" t="s">
        <v>5875</v>
      </c>
      <c r="I520" s="647" t="s">
        <v>4264</v>
      </c>
      <c r="J520" s="647">
        <v>9760491</v>
      </c>
      <c r="K520" s="647" t="s">
        <v>5407</v>
      </c>
      <c r="L520" s="647" t="s">
        <v>6193</v>
      </c>
      <c r="M520" s="647" t="s">
        <v>3826</v>
      </c>
      <c r="N520" s="648">
        <v>40178</v>
      </c>
    </row>
    <row r="521" spans="1:14" x14ac:dyDescent="0.35">
      <c r="A521" s="647">
        <v>3759</v>
      </c>
      <c r="B521" s="647" t="s">
        <v>6194</v>
      </c>
      <c r="C521" s="647" t="s">
        <v>6195</v>
      </c>
      <c r="D521" s="647" t="s">
        <v>3001</v>
      </c>
      <c r="E521" s="647" t="s">
        <v>2973</v>
      </c>
      <c r="F521" s="647">
        <v>8055</v>
      </c>
      <c r="G521" s="647" t="s">
        <v>6196</v>
      </c>
      <c r="H521" s="647" t="s">
        <v>4006</v>
      </c>
      <c r="I521" s="647" t="s">
        <v>4253</v>
      </c>
      <c r="J521" s="647">
        <v>3584359</v>
      </c>
      <c r="K521" s="647" t="s">
        <v>4488</v>
      </c>
      <c r="L521" s="647" t="s">
        <v>6197</v>
      </c>
      <c r="M521" s="647" t="s">
        <v>3826</v>
      </c>
      <c r="N521" s="648">
        <v>40299</v>
      </c>
    </row>
    <row r="522" spans="1:14" x14ac:dyDescent="0.35">
      <c r="A522" s="647">
        <v>3765</v>
      </c>
      <c r="B522" s="647" t="s">
        <v>6198</v>
      </c>
      <c r="C522" s="647" t="s">
        <v>6199</v>
      </c>
      <c r="D522" s="647" t="s">
        <v>3003</v>
      </c>
      <c r="E522" s="647" t="s">
        <v>2973</v>
      </c>
      <c r="F522" s="647">
        <v>8619</v>
      </c>
      <c r="G522" s="647" t="s">
        <v>6200</v>
      </c>
      <c r="H522" s="647" t="s">
        <v>5875</v>
      </c>
      <c r="I522" s="647" t="s">
        <v>4279</v>
      </c>
      <c r="J522" s="647">
        <v>5474769</v>
      </c>
      <c r="K522" s="647" t="s">
        <v>3835</v>
      </c>
      <c r="L522" s="647" t="s">
        <v>6201</v>
      </c>
      <c r="M522" s="647" t="s">
        <v>3826</v>
      </c>
      <c r="N522" s="648">
        <v>40313</v>
      </c>
    </row>
    <row r="523" spans="1:14" x14ac:dyDescent="0.35">
      <c r="A523" s="647">
        <v>3766</v>
      </c>
      <c r="B523" s="647" t="s">
        <v>6202</v>
      </c>
      <c r="C523" s="647" t="s">
        <v>6203</v>
      </c>
      <c r="D523" s="647" t="s">
        <v>6204</v>
      </c>
      <c r="E523" s="647" t="s">
        <v>3358</v>
      </c>
      <c r="F523" s="647">
        <v>18328</v>
      </c>
      <c r="G523" s="647" t="s">
        <v>6205</v>
      </c>
      <c r="H523" s="647" t="s">
        <v>5315</v>
      </c>
      <c r="I523" s="647" t="s">
        <v>4264</v>
      </c>
      <c r="J523" s="647"/>
      <c r="K523" s="647" t="s">
        <v>6206</v>
      </c>
      <c r="L523" s="647" t="s">
        <v>2471</v>
      </c>
      <c r="M523" s="647" t="s">
        <v>3826</v>
      </c>
      <c r="N523" s="648" t="e">
        <v>#N/A</v>
      </c>
    </row>
    <row r="524" spans="1:14" x14ac:dyDescent="0.35">
      <c r="A524" s="647">
        <v>3768</v>
      </c>
      <c r="B524" s="647" t="s">
        <v>6207</v>
      </c>
      <c r="C524" s="647" t="s">
        <v>6208</v>
      </c>
      <c r="D524" s="647" t="s">
        <v>3005</v>
      </c>
      <c r="E524" s="647" t="s">
        <v>2973</v>
      </c>
      <c r="F524" s="647" t="s">
        <v>6209</v>
      </c>
      <c r="G524" s="647" t="s">
        <v>6210</v>
      </c>
      <c r="H524" s="647" t="s">
        <v>5875</v>
      </c>
      <c r="I524" s="647" t="s">
        <v>4264</v>
      </c>
      <c r="J524" s="647">
        <v>1088988</v>
      </c>
      <c r="K524" s="647" t="s">
        <v>4001</v>
      </c>
      <c r="L524" s="647" t="s">
        <v>6211</v>
      </c>
      <c r="M524" s="647" t="s">
        <v>4078</v>
      </c>
      <c r="N524" s="648">
        <v>40360</v>
      </c>
    </row>
    <row r="525" spans="1:14" x14ac:dyDescent="0.35">
      <c r="A525" s="647">
        <v>3779</v>
      </c>
      <c r="B525" s="647" t="s">
        <v>6212</v>
      </c>
      <c r="C525" s="647" t="s">
        <v>6213</v>
      </c>
      <c r="D525" s="647" t="s">
        <v>3007</v>
      </c>
      <c r="E525" s="647" t="s">
        <v>2973</v>
      </c>
      <c r="F525" s="647">
        <v>8540</v>
      </c>
      <c r="G525" s="647" t="s">
        <v>6214</v>
      </c>
      <c r="H525" s="647" t="s">
        <v>5875</v>
      </c>
      <c r="I525" s="647" t="s">
        <v>4253</v>
      </c>
      <c r="J525" s="647">
        <v>2874930</v>
      </c>
      <c r="K525" s="647" t="s">
        <v>6215</v>
      </c>
      <c r="L525" s="647" t="s">
        <v>6216</v>
      </c>
      <c r="M525" s="647" t="s">
        <v>3973</v>
      </c>
      <c r="N525" s="648">
        <v>40178</v>
      </c>
    </row>
    <row r="526" spans="1:14" x14ac:dyDescent="0.35">
      <c r="A526" s="647">
        <v>3781</v>
      </c>
      <c r="B526" s="647" t="s">
        <v>6217</v>
      </c>
      <c r="C526" s="647" t="s">
        <v>6218</v>
      </c>
      <c r="D526" s="647" t="s">
        <v>3009</v>
      </c>
      <c r="E526" s="647" t="s">
        <v>2973</v>
      </c>
      <c r="F526" s="647">
        <v>8852</v>
      </c>
      <c r="G526" s="647" t="s">
        <v>6219</v>
      </c>
      <c r="H526" s="647" t="s">
        <v>5875</v>
      </c>
      <c r="I526" s="647" t="s">
        <v>4253</v>
      </c>
      <c r="J526" s="647">
        <v>2460275</v>
      </c>
      <c r="K526" s="647" t="s">
        <v>4488</v>
      </c>
      <c r="L526" s="647" t="s">
        <v>6220</v>
      </c>
      <c r="M526" s="647" t="s">
        <v>4078</v>
      </c>
      <c r="N526" s="648">
        <v>40391</v>
      </c>
    </row>
    <row r="527" spans="1:14" x14ac:dyDescent="0.35">
      <c r="A527" s="647">
        <v>3783</v>
      </c>
      <c r="B527" s="647" t="s">
        <v>6221</v>
      </c>
      <c r="C527" s="647" t="s">
        <v>6222</v>
      </c>
      <c r="D527" s="647" t="s">
        <v>3011</v>
      </c>
      <c r="E527" s="647" t="s">
        <v>2973</v>
      </c>
      <c r="F527" s="647">
        <v>8840</v>
      </c>
      <c r="G527" s="647" t="s">
        <v>6223</v>
      </c>
      <c r="H527" s="647" t="s">
        <v>5875</v>
      </c>
      <c r="I527" s="647" t="s">
        <v>4253</v>
      </c>
      <c r="J527" s="647">
        <v>11682415</v>
      </c>
      <c r="K527" s="647" t="s">
        <v>4052</v>
      </c>
      <c r="L527" s="647" t="s">
        <v>6224</v>
      </c>
      <c r="M527" s="647" t="s">
        <v>3826</v>
      </c>
      <c r="N527" s="648">
        <v>40268</v>
      </c>
    </row>
    <row r="528" spans="1:14" x14ac:dyDescent="0.35">
      <c r="A528" s="647">
        <v>3791</v>
      </c>
      <c r="B528" s="647" t="s">
        <v>6225</v>
      </c>
      <c r="C528" s="647" t="s">
        <v>6226</v>
      </c>
      <c r="D528" s="647" t="s">
        <v>3013</v>
      </c>
      <c r="E528" s="647" t="s">
        <v>2973</v>
      </c>
      <c r="F528" s="647">
        <v>7042</v>
      </c>
      <c r="G528" s="647" t="s">
        <v>6227</v>
      </c>
      <c r="H528" s="647" t="s">
        <v>5875</v>
      </c>
      <c r="I528" s="647" t="s">
        <v>4264</v>
      </c>
      <c r="J528" s="647">
        <v>9602968</v>
      </c>
      <c r="K528" s="647" t="s">
        <v>4488</v>
      </c>
      <c r="L528" s="647" t="s">
        <v>6228</v>
      </c>
      <c r="M528" s="647" t="s">
        <v>3826</v>
      </c>
      <c r="N528" s="648">
        <v>40268</v>
      </c>
    </row>
    <row r="529" spans="1:14" x14ac:dyDescent="0.35">
      <c r="A529" s="647">
        <v>3794</v>
      </c>
      <c r="B529" s="647" t="s">
        <v>6229</v>
      </c>
      <c r="C529" s="647" t="s">
        <v>6230</v>
      </c>
      <c r="D529" s="647" t="s">
        <v>3015</v>
      </c>
      <c r="E529" s="647" t="s">
        <v>3016</v>
      </c>
      <c r="F529" s="647">
        <v>12725</v>
      </c>
      <c r="G529" s="647" t="s">
        <v>6231</v>
      </c>
      <c r="H529" s="649"/>
      <c r="I529" s="649"/>
      <c r="J529" s="647">
        <v>10682638</v>
      </c>
      <c r="K529" s="647" t="s">
        <v>3824</v>
      </c>
      <c r="L529" s="647" t="s">
        <v>6232</v>
      </c>
      <c r="M529" s="647" t="s">
        <v>3826</v>
      </c>
      <c r="N529" s="648" t="e">
        <v>#N/A</v>
      </c>
    </row>
    <row r="530" spans="1:14" x14ac:dyDescent="0.35">
      <c r="A530" s="647">
        <v>3795</v>
      </c>
      <c r="B530" s="647" t="s">
        <v>6233</v>
      </c>
      <c r="C530" s="647" t="s">
        <v>6234</v>
      </c>
      <c r="D530" s="647" t="s">
        <v>3018</v>
      </c>
      <c r="E530" s="647" t="s">
        <v>2973</v>
      </c>
      <c r="F530" s="647">
        <v>98225</v>
      </c>
      <c r="G530" s="647" t="s">
        <v>6235</v>
      </c>
      <c r="H530" s="647" t="s">
        <v>5875</v>
      </c>
      <c r="I530" s="647" t="s">
        <v>4279</v>
      </c>
      <c r="J530" s="647">
        <v>4920427</v>
      </c>
      <c r="K530" s="647" t="s">
        <v>4052</v>
      </c>
      <c r="L530" s="647" t="s">
        <v>6236</v>
      </c>
      <c r="M530" s="647" t="s">
        <v>3826</v>
      </c>
      <c r="N530" s="648">
        <v>40179</v>
      </c>
    </row>
    <row r="531" spans="1:14" x14ac:dyDescent="0.35">
      <c r="A531" s="647">
        <v>3799</v>
      </c>
      <c r="B531" s="647" t="s">
        <v>6237</v>
      </c>
      <c r="C531" s="647" t="s">
        <v>6238</v>
      </c>
      <c r="D531" s="647" t="s">
        <v>3020</v>
      </c>
      <c r="E531" s="647" t="s">
        <v>2973</v>
      </c>
      <c r="F531" s="647">
        <v>7927</v>
      </c>
      <c r="G531" s="647" t="s">
        <v>6239</v>
      </c>
      <c r="H531" s="647" t="s">
        <v>5875</v>
      </c>
      <c r="I531" s="647" t="s">
        <v>4279</v>
      </c>
      <c r="J531" s="647">
        <v>6579419</v>
      </c>
      <c r="K531" s="647" t="s">
        <v>5164</v>
      </c>
      <c r="L531" s="647" t="s">
        <v>6240</v>
      </c>
      <c r="M531" s="647" t="s">
        <v>3826</v>
      </c>
      <c r="N531" s="648">
        <v>40299</v>
      </c>
    </row>
    <row r="532" spans="1:14" x14ac:dyDescent="0.35">
      <c r="A532" s="647">
        <v>3803</v>
      </c>
      <c r="B532" s="647" t="s">
        <v>6241</v>
      </c>
      <c r="C532" s="647" t="s">
        <v>6242</v>
      </c>
      <c r="D532" s="647" t="s">
        <v>3022</v>
      </c>
      <c r="E532" s="647" t="s">
        <v>2973</v>
      </c>
      <c r="F532" s="647" t="s">
        <v>5827</v>
      </c>
      <c r="G532" s="647" t="s">
        <v>6243</v>
      </c>
      <c r="H532" s="647" t="s">
        <v>5875</v>
      </c>
      <c r="I532" s="647" t="s">
        <v>4253</v>
      </c>
      <c r="J532" s="647">
        <v>5973404</v>
      </c>
      <c r="K532" s="647" t="s">
        <v>5009</v>
      </c>
      <c r="L532" s="647" t="s">
        <v>6244</v>
      </c>
      <c r="M532" s="647" t="s">
        <v>3826</v>
      </c>
      <c r="N532" s="648">
        <v>40492</v>
      </c>
    </row>
    <row r="533" spans="1:14" x14ac:dyDescent="0.35">
      <c r="A533" s="647">
        <v>3827</v>
      </c>
      <c r="B533" s="647" t="s">
        <v>6245</v>
      </c>
      <c r="C533" s="647" t="s">
        <v>6246</v>
      </c>
      <c r="D533" s="647" t="s">
        <v>3024</v>
      </c>
      <c r="E533" s="647" t="s">
        <v>2973</v>
      </c>
      <c r="F533" s="647">
        <v>7039</v>
      </c>
      <c r="G533" s="647" t="s">
        <v>6247</v>
      </c>
      <c r="H533" s="647" t="s">
        <v>5875</v>
      </c>
      <c r="I533" s="647" t="s">
        <v>4253</v>
      </c>
      <c r="J533" s="647">
        <v>20352320</v>
      </c>
      <c r="K533" s="647" t="s">
        <v>4169</v>
      </c>
      <c r="L533" s="647" t="s">
        <v>6248</v>
      </c>
      <c r="M533" s="647" t="s">
        <v>3826</v>
      </c>
      <c r="N533" s="648">
        <v>40330</v>
      </c>
    </row>
    <row r="534" spans="1:14" x14ac:dyDescent="0.35">
      <c r="A534" s="647">
        <v>3849</v>
      </c>
      <c r="B534" s="647" t="s">
        <v>6249</v>
      </c>
      <c r="C534" s="647" t="s">
        <v>6250</v>
      </c>
      <c r="D534" s="647" t="s">
        <v>3026</v>
      </c>
      <c r="E534" s="647" t="s">
        <v>2973</v>
      </c>
      <c r="F534" s="647" t="s">
        <v>6251</v>
      </c>
      <c r="G534" s="647" t="s">
        <v>6252</v>
      </c>
      <c r="H534" s="647" t="s">
        <v>3924</v>
      </c>
      <c r="I534" s="647" t="s">
        <v>4253</v>
      </c>
      <c r="J534" s="647">
        <v>453719</v>
      </c>
      <c r="K534" s="647" t="s">
        <v>5085</v>
      </c>
      <c r="L534" s="647" t="s">
        <v>6253</v>
      </c>
      <c r="M534" s="647" t="s">
        <v>4078</v>
      </c>
      <c r="N534" s="648" t="e">
        <v>#N/A</v>
      </c>
    </row>
    <row r="535" spans="1:14" x14ac:dyDescent="0.35">
      <c r="A535" s="647">
        <v>3853</v>
      </c>
      <c r="B535" s="647" t="s">
        <v>6254</v>
      </c>
      <c r="C535" s="647" t="s">
        <v>6255</v>
      </c>
      <c r="D535" s="647" t="s">
        <v>6256</v>
      </c>
      <c r="E535" s="647" t="s">
        <v>2973</v>
      </c>
      <c r="F535" s="647">
        <v>7026</v>
      </c>
      <c r="G535" s="647" t="s">
        <v>6257</v>
      </c>
      <c r="H535" s="647" t="s">
        <v>5875</v>
      </c>
      <c r="I535" s="647" t="s">
        <v>4279</v>
      </c>
      <c r="J535" s="647"/>
      <c r="K535" s="647" t="s">
        <v>6258</v>
      </c>
      <c r="L535" s="647" t="s">
        <v>6259</v>
      </c>
      <c r="M535" s="647" t="s">
        <v>3826</v>
      </c>
      <c r="N535" s="648">
        <v>40483</v>
      </c>
    </row>
    <row r="536" spans="1:14" x14ac:dyDescent="0.35">
      <c r="A536" s="647">
        <v>3857</v>
      </c>
      <c r="B536" s="647" t="s">
        <v>6260</v>
      </c>
      <c r="C536" s="647" t="s">
        <v>6261</v>
      </c>
      <c r="D536" s="647" t="s">
        <v>3028</v>
      </c>
      <c r="E536" s="647" t="s">
        <v>2973</v>
      </c>
      <c r="F536" s="647">
        <v>7505</v>
      </c>
      <c r="G536" s="647" t="s">
        <v>6262</v>
      </c>
      <c r="H536" s="647" t="s">
        <v>3924</v>
      </c>
      <c r="I536" s="647" t="s">
        <v>5582</v>
      </c>
      <c r="J536" s="647">
        <v>4658712</v>
      </c>
      <c r="K536" s="647" t="s">
        <v>6263</v>
      </c>
      <c r="L536" s="647" t="s">
        <v>6264</v>
      </c>
      <c r="M536" s="647" t="s">
        <v>3826</v>
      </c>
      <c r="N536" s="648" t="e">
        <v>#N/A</v>
      </c>
    </row>
    <row r="537" spans="1:14" x14ac:dyDescent="0.35">
      <c r="A537" s="647">
        <v>3863</v>
      </c>
      <c r="B537" s="647" t="s">
        <v>6265</v>
      </c>
      <c r="C537" s="647" t="s">
        <v>6266</v>
      </c>
      <c r="D537" s="647" t="s">
        <v>3030</v>
      </c>
      <c r="E537" s="647" t="s">
        <v>2973</v>
      </c>
      <c r="F537" s="647" t="s">
        <v>6267</v>
      </c>
      <c r="G537" s="647" t="s">
        <v>6268</v>
      </c>
      <c r="H537" s="647" t="s">
        <v>5875</v>
      </c>
      <c r="I537" s="647" t="s">
        <v>4279</v>
      </c>
      <c r="J537" s="647">
        <v>4716994</v>
      </c>
      <c r="K537" s="647" t="s">
        <v>6269</v>
      </c>
      <c r="L537" s="647" t="s">
        <v>6270</v>
      </c>
      <c r="M537" s="647" t="s">
        <v>3826</v>
      </c>
      <c r="N537" s="648">
        <v>40452</v>
      </c>
    </row>
    <row r="538" spans="1:14" x14ac:dyDescent="0.35">
      <c r="A538" s="647">
        <v>3865</v>
      </c>
      <c r="B538" s="647" t="s">
        <v>6271</v>
      </c>
      <c r="C538" s="647" t="s">
        <v>6272</v>
      </c>
      <c r="D538" s="647" t="s">
        <v>3032</v>
      </c>
      <c r="E538" s="647" t="s">
        <v>2973</v>
      </c>
      <c r="F538" s="647" t="s">
        <v>6273</v>
      </c>
      <c r="G538" s="647" t="s">
        <v>6274</v>
      </c>
      <c r="H538" s="647" t="s">
        <v>5875</v>
      </c>
      <c r="I538" s="647" t="s">
        <v>4264</v>
      </c>
      <c r="J538" s="647">
        <v>598609</v>
      </c>
      <c r="K538" s="647" t="s">
        <v>5301</v>
      </c>
      <c r="L538" s="647" t="s">
        <v>6275</v>
      </c>
      <c r="M538" s="647" t="s">
        <v>3826</v>
      </c>
      <c r="N538" s="648">
        <v>40268</v>
      </c>
    </row>
    <row r="539" spans="1:14" x14ac:dyDescent="0.35">
      <c r="A539" s="647">
        <v>3869</v>
      </c>
      <c r="B539" s="647" t="s">
        <v>6276</v>
      </c>
      <c r="C539" s="647" t="s">
        <v>6277</v>
      </c>
      <c r="D539" s="647" t="s">
        <v>3034</v>
      </c>
      <c r="E539" s="647" t="s">
        <v>2973</v>
      </c>
      <c r="F539" s="647" t="s">
        <v>6278</v>
      </c>
      <c r="G539" s="647" t="s">
        <v>6279</v>
      </c>
      <c r="H539" s="647" t="s">
        <v>5875</v>
      </c>
      <c r="I539" s="647" t="s">
        <v>4279</v>
      </c>
      <c r="J539" s="647"/>
      <c r="K539" s="647" t="s">
        <v>6280</v>
      </c>
      <c r="L539" s="647" t="s">
        <v>3957</v>
      </c>
      <c r="M539" s="647" t="s">
        <v>3826</v>
      </c>
      <c r="N539" s="648">
        <v>40333</v>
      </c>
    </row>
    <row r="540" spans="1:14" x14ac:dyDescent="0.35">
      <c r="A540" s="647">
        <v>3877</v>
      </c>
      <c r="B540" s="647" t="s">
        <v>6281</v>
      </c>
      <c r="C540" s="647" t="s">
        <v>6282</v>
      </c>
      <c r="D540" s="647" t="s">
        <v>3036</v>
      </c>
      <c r="E540" s="647" t="s">
        <v>2973</v>
      </c>
      <c r="F540" s="647" t="s">
        <v>6283</v>
      </c>
      <c r="G540" s="647" t="s">
        <v>6284</v>
      </c>
      <c r="H540" s="647" t="s">
        <v>3924</v>
      </c>
      <c r="I540" s="647" t="s">
        <v>5582</v>
      </c>
      <c r="J540" s="647">
        <v>1328039</v>
      </c>
      <c r="K540" s="647" t="s">
        <v>6285</v>
      </c>
      <c r="L540" s="647" t="s">
        <v>6286</v>
      </c>
      <c r="M540" s="647" t="s">
        <v>4078</v>
      </c>
      <c r="N540" s="648">
        <v>40178</v>
      </c>
    </row>
    <row r="541" spans="1:14" x14ac:dyDescent="0.35">
      <c r="A541" s="647">
        <v>3881</v>
      </c>
      <c r="B541" s="647" t="s">
        <v>6287</v>
      </c>
      <c r="C541" s="647" t="s">
        <v>6288</v>
      </c>
      <c r="D541" s="647" t="s">
        <v>2198</v>
      </c>
      <c r="E541" s="647" t="s">
        <v>2973</v>
      </c>
      <c r="F541" s="647">
        <v>7748</v>
      </c>
      <c r="G541" s="647" t="s">
        <v>6289</v>
      </c>
      <c r="H541" s="647" t="s">
        <v>5875</v>
      </c>
      <c r="I541" s="647" t="s">
        <v>4264</v>
      </c>
      <c r="J541" s="647">
        <v>9647569</v>
      </c>
      <c r="K541" s="647" t="s">
        <v>4369</v>
      </c>
      <c r="L541" s="647" t="s">
        <v>6290</v>
      </c>
      <c r="M541" s="647" t="s">
        <v>3826</v>
      </c>
      <c r="N541" s="648">
        <v>40269</v>
      </c>
    </row>
    <row r="542" spans="1:14" x14ac:dyDescent="0.35">
      <c r="A542" s="647">
        <v>3885</v>
      </c>
      <c r="B542" s="647" t="s">
        <v>6291</v>
      </c>
      <c r="C542" s="647" t="s">
        <v>6292</v>
      </c>
      <c r="D542" s="647" t="s">
        <v>3039</v>
      </c>
      <c r="E542" s="647" t="s">
        <v>2973</v>
      </c>
      <c r="F542" s="647">
        <v>7450</v>
      </c>
      <c r="G542" s="647" t="s">
        <v>6293</v>
      </c>
      <c r="H542" s="647" t="s">
        <v>5875</v>
      </c>
      <c r="I542" s="647" t="s">
        <v>4279</v>
      </c>
      <c r="J542" s="647">
        <v>5318335</v>
      </c>
      <c r="K542" s="647" t="s">
        <v>4169</v>
      </c>
      <c r="L542" s="647" t="s">
        <v>6294</v>
      </c>
      <c r="M542" s="647" t="s">
        <v>6295</v>
      </c>
      <c r="N542" s="648">
        <v>40360</v>
      </c>
    </row>
    <row r="543" spans="1:14" x14ac:dyDescent="0.35">
      <c r="A543" s="647">
        <v>3889</v>
      </c>
      <c r="B543" s="647" t="s">
        <v>6296</v>
      </c>
      <c r="C543" s="647" t="s">
        <v>6297</v>
      </c>
      <c r="D543" s="647" t="s">
        <v>3041</v>
      </c>
      <c r="E543" s="647" t="s">
        <v>2973</v>
      </c>
      <c r="F543" s="647">
        <v>76903</v>
      </c>
      <c r="G543" s="647" t="s">
        <v>6298</v>
      </c>
      <c r="H543" s="647" t="s">
        <v>5875</v>
      </c>
      <c r="I543" s="647" t="s">
        <v>4253</v>
      </c>
      <c r="J543" s="647">
        <v>646230</v>
      </c>
      <c r="K543" s="647" t="s">
        <v>6299</v>
      </c>
      <c r="L543" s="647" t="s">
        <v>6300</v>
      </c>
      <c r="M543" s="647" t="s">
        <v>3826</v>
      </c>
      <c r="N543" s="648">
        <v>40381</v>
      </c>
    </row>
    <row r="544" spans="1:14" x14ac:dyDescent="0.35">
      <c r="A544" s="647">
        <v>3915</v>
      </c>
      <c r="B544" s="647" t="s">
        <v>6301</v>
      </c>
      <c r="C544" s="647" t="s">
        <v>6302</v>
      </c>
      <c r="D544" s="647" t="s">
        <v>3043</v>
      </c>
      <c r="E544" s="647" t="s">
        <v>2973</v>
      </c>
      <c r="F544" s="647">
        <v>7920</v>
      </c>
      <c r="G544" s="647" t="s">
        <v>6303</v>
      </c>
      <c r="H544" s="647" t="s">
        <v>4006</v>
      </c>
      <c r="I544" s="647" t="s">
        <v>4253</v>
      </c>
      <c r="J544" s="647">
        <v>10955212</v>
      </c>
      <c r="K544" s="647" t="s">
        <v>3956</v>
      </c>
      <c r="L544" s="647" t="s">
        <v>6304</v>
      </c>
      <c r="M544" s="647" t="s">
        <v>3826</v>
      </c>
      <c r="N544" s="648">
        <v>40269</v>
      </c>
    </row>
    <row r="545" spans="1:14" x14ac:dyDescent="0.35">
      <c r="A545" s="647">
        <v>3919</v>
      </c>
      <c r="B545" s="647" t="s">
        <v>6305</v>
      </c>
      <c r="C545" s="647" t="s">
        <v>6306</v>
      </c>
      <c r="D545" s="647" t="s">
        <v>2758</v>
      </c>
      <c r="E545" s="647" t="s">
        <v>2973</v>
      </c>
      <c r="F545" s="647">
        <v>8876</v>
      </c>
      <c r="G545" s="647" t="s">
        <v>6307</v>
      </c>
      <c r="H545" s="647" t="s">
        <v>5875</v>
      </c>
      <c r="I545" s="647" t="s">
        <v>4253</v>
      </c>
      <c r="J545" s="647">
        <v>5290464</v>
      </c>
      <c r="K545" s="647" t="s">
        <v>3978</v>
      </c>
      <c r="L545" s="647" t="s">
        <v>6308</v>
      </c>
      <c r="M545" s="647" t="s">
        <v>3826</v>
      </c>
      <c r="N545" s="648">
        <v>40421</v>
      </c>
    </row>
    <row r="546" spans="1:14" x14ac:dyDescent="0.35">
      <c r="A546" s="647">
        <v>3927</v>
      </c>
      <c r="B546" s="647" t="s">
        <v>6309</v>
      </c>
      <c r="C546" s="647" t="s">
        <v>6310</v>
      </c>
      <c r="D546" s="647" t="s">
        <v>3046</v>
      </c>
      <c r="E546" s="647" t="s">
        <v>2973</v>
      </c>
      <c r="F546" s="647">
        <v>7901</v>
      </c>
      <c r="G546" s="647" t="s">
        <v>6311</v>
      </c>
      <c r="H546" s="647" t="s">
        <v>5875</v>
      </c>
      <c r="I546" s="647" t="s">
        <v>4279</v>
      </c>
      <c r="J546" s="647">
        <v>14205430</v>
      </c>
      <c r="K546" s="647" t="s">
        <v>4030</v>
      </c>
      <c r="L546" s="647" t="s">
        <v>5206</v>
      </c>
      <c r="M546" s="647" t="s">
        <v>3826</v>
      </c>
      <c r="N546" s="648">
        <v>40360</v>
      </c>
    </row>
    <row r="547" spans="1:14" x14ac:dyDescent="0.35">
      <c r="A547" s="647">
        <v>3931</v>
      </c>
      <c r="B547" s="647" t="s">
        <v>6312</v>
      </c>
      <c r="C547" s="647" t="s">
        <v>6313</v>
      </c>
      <c r="D547" s="647" t="s">
        <v>3048</v>
      </c>
      <c r="E547" s="647" t="s">
        <v>2973</v>
      </c>
      <c r="F547" s="647">
        <v>1550</v>
      </c>
      <c r="G547" s="647" t="s">
        <v>6314</v>
      </c>
      <c r="H547" s="647" t="s">
        <v>5875</v>
      </c>
      <c r="I547" s="647" t="s">
        <v>4253</v>
      </c>
      <c r="J547" s="647">
        <v>2548930</v>
      </c>
      <c r="K547" s="647" t="s">
        <v>2082</v>
      </c>
      <c r="L547" s="647" t="s">
        <v>6315</v>
      </c>
      <c r="M547" s="647" t="s">
        <v>3826</v>
      </c>
      <c r="N547" s="648">
        <v>40268</v>
      </c>
    </row>
    <row r="548" spans="1:14" x14ac:dyDescent="0.35">
      <c r="A548" s="647">
        <v>3947</v>
      </c>
      <c r="B548" s="647" t="s">
        <v>6316</v>
      </c>
      <c r="C548" s="647" t="s">
        <v>6317</v>
      </c>
      <c r="D548" s="647" t="s">
        <v>3050</v>
      </c>
      <c r="E548" s="647" t="s">
        <v>2973</v>
      </c>
      <c r="F548" s="647">
        <v>8360</v>
      </c>
      <c r="G548" s="647" t="s">
        <v>6318</v>
      </c>
      <c r="H548" s="647" t="s">
        <v>5875</v>
      </c>
      <c r="I548" s="647" t="s">
        <v>4264</v>
      </c>
      <c r="J548" s="647">
        <v>2578813</v>
      </c>
      <c r="K548" s="647" t="s">
        <v>5009</v>
      </c>
      <c r="L548" s="647" t="s">
        <v>6319</v>
      </c>
      <c r="M548" s="647" t="s">
        <v>3826</v>
      </c>
      <c r="N548" s="648">
        <v>40179</v>
      </c>
    </row>
    <row r="549" spans="1:14" x14ac:dyDescent="0.35">
      <c r="A549" s="647">
        <v>3951</v>
      </c>
      <c r="B549" s="647" t="s">
        <v>6320</v>
      </c>
      <c r="C549" s="647" t="s">
        <v>6321</v>
      </c>
      <c r="D549" s="647" t="s">
        <v>2763</v>
      </c>
      <c r="E549" s="647" t="s">
        <v>2973</v>
      </c>
      <c r="F549" s="647" t="s">
        <v>6322</v>
      </c>
      <c r="G549" s="647" t="s">
        <v>6323</v>
      </c>
      <c r="H549" s="647" t="s">
        <v>5875</v>
      </c>
      <c r="I549" s="647" t="s">
        <v>4279</v>
      </c>
      <c r="J549" s="647">
        <v>9274312</v>
      </c>
      <c r="K549" s="647" t="s">
        <v>3860</v>
      </c>
      <c r="L549" s="647" t="s">
        <v>6324</v>
      </c>
      <c r="M549" s="647" t="s">
        <v>3826</v>
      </c>
      <c r="N549" s="648">
        <v>40178</v>
      </c>
    </row>
    <row r="550" spans="1:14" x14ac:dyDescent="0.35">
      <c r="A550" s="647">
        <v>3959</v>
      </c>
      <c r="B550" s="647" t="s">
        <v>6325</v>
      </c>
      <c r="C550" s="647" t="s">
        <v>6326</v>
      </c>
      <c r="D550" s="647" t="s">
        <v>3053</v>
      </c>
      <c r="E550" s="647" t="s">
        <v>3054</v>
      </c>
      <c r="F550" s="647">
        <v>87102</v>
      </c>
      <c r="G550" s="647" t="s">
        <v>6327</v>
      </c>
      <c r="H550" s="647" t="s">
        <v>3931</v>
      </c>
      <c r="I550" s="647" t="s">
        <v>3925</v>
      </c>
      <c r="J550" s="647">
        <v>5551830</v>
      </c>
      <c r="K550" s="647" t="s">
        <v>4001</v>
      </c>
      <c r="L550" s="647" t="s">
        <v>6328</v>
      </c>
      <c r="M550" s="647" t="s">
        <v>3826</v>
      </c>
      <c r="N550" s="648">
        <v>40178</v>
      </c>
    </row>
    <row r="551" spans="1:14" x14ac:dyDescent="0.35">
      <c r="A551" s="647">
        <v>3971</v>
      </c>
      <c r="B551" s="647" t="s">
        <v>6329</v>
      </c>
      <c r="C551" s="647" t="s">
        <v>6330</v>
      </c>
      <c r="D551" s="647" t="s">
        <v>3056</v>
      </c>
      <c r="E551" s="647" t="s">
        <v>3054</v>
      </c>
      <c r="F551" s="647" t="s">
        <v>5333</v>
      </c>
      <c r="G551" s="647" t="s">
        <v>6331</v>
      </c>
      <c r="H551" s="649"/>
      <c r="I551" s="649"/>
      <c r="J551" s="647">
        <v>1691778</v>
      </c>
      <c r="K551" s="647" t="s">
        <v>4754</v>
      </c>
      <c r="L551" s="647" t="s">
        <v>6332</v>
      </c>
      <c r="M551" s="647" t="s">
        <v>3826</v>
      </c>
      <c r="N551" s="648" t="e">
        <v>#N/A</v>
      </c>
    </row>
    <row r="552" spans="1:14" x14ac:dyDescent="0.35">
      <c r="A552" s="647">
        <v>3995</v>
      </c>
      <c r="B552" s="647" t="s">
        <v>6333</v>
      </c>
      <c r="C552" s="647" t="s">
        <v>6334</v>
      </c>
      <c r="D552" s="647" t="s">
        <v>3058</v>
      </c>
      <c r="E552" s="647" t="s">
        <v>3016</v>
      </c>
      <c r="F552" s="647" t="s">
        <v>6335</v>
      </c>
      <c r="G552" s="647" t="s">
        <v>6336</v>
      </c>
      <c r="H552" s="647" t="s">
        <v>5875</v>
      </c>
      <c r="I552" s="647" t="s">
        <v>4083</v>
      </c>
      <c r="J552" s="647">
        <v>562163</v>
      </c>
      <c r="K552" s="647" t="s">
        <v>6337</v>
      </c>
      <c r="L552" s="647" t="s">
        <v>2082</v>
      </c>
      <c r="M552" s="647" t="s">
        <v>3826</v>
      </c>
      <c r="N552" s="648" t="e">
        <v>#N/A</v>
      </c>
    </row>
    <row r="553" spans="1:14" x14ac:dyDescent="0.35">
      <c r="A553" s="647">
        <v>3999</v>
      </c>
      <c r="B553" s="647" t="s">
        <v>6338</v>
      </c>
      <c r="C553" s="647" t="s">
        <v>6339</v>
      </c>
      <c r="D553" s="647" t="s">
        <v>2439</v>
      </c>
      <c r="E553" s="647" t="s">
        <v>3016</v>
      </c>
      <c r="F553" s="647" t="s">
        <v>6340</v>
      </c>
      <c r="G553" s="647" t="s">
        <v>6341</v>
      </c>
      <c r="H553" s="647" t="s">
        <v>5875</v>
      </c>
      <c r="I553" s="647" t="s">
        <v>4253</v>
      </c>
      <c r="J553" s="647">
        <v>2509421</v>
      </c>
      <c r="K553" s="647" t="s">
        <v>3835</v>
      </c>
      <c r="L553" s="647" t="s">
        <v>6342</v>
      </c>
      <c r="M553" s="647" t="s">
        <v>3826</v>
      </c>
      <c r="N553" s="648" t="e">
        <v>#N/A</v>
      </c>
    </row>
    <row r="554" spans="1:14" x14ac:dyDescent="0.35">
      <c r="A554" s="647">
        <v>4003</v>
      </c>
      <c r="B554" s="647" t="s">
        <v>6343</v>
      </c>
      <c r="C554" s="647" t="s">
        <v>6344</v>
      </c>
      <c r="D554" s="647" t="s">
        <v>3061</v>
      </c>
      <c r="E554" s="647" t="s">
        <v>3016</v>
      </c>
      <c r="F554" s="647" t="s">
        <v>6345</v>
      </c>
      <c r="G554" s="647" t="s">
        <v>6346</v>
      </c>
      <c r="H554" s="649"/>
      <c r="I554" s="649"/>
      <c r="J554" s="647">
        <v>2511189</v>
      </c>
      <c r="K554" s="647" t="s">
        <v>6347</v>
      </c>
      <c r="L554" s="647" t="s">
        <v>6348</v>
      </c>
      <c r="M554" s="647" t="s">
        <v>3826</v>
      </c>
      <c r="N554" s="648" t="e">
        <v>#N/A</v>
      </c>
    </row>
    <row r="555" spans="1:14" x14ac:dyDescent="0.35">
      <c r="A555" s="647">
        <v>4007</v>
      </c>
      <c r="B555" s="647" t="s">
        <v>6349</v>
      </c>
      <c r="C555" s="647" t="s">
        <v>6350</v>
      </c>
      <c r="D555" s="647" t="s">
        <v>3063</v>
      </c>
      <c r="E555" s="647" t="s">
        <v>3016</v>
      </c>
      <c r="F555" s="647" t="s">
        <v>6351</v>
      </c>
      <c r="G555" s="647" t="s">
        <v>6352</v>
      </c>
      <c r="H555" s="647" t="s">
        <v>3924</v>
      </c>
      <c r="I555" s="647" t="s">
        <v>4083</v>
      </c>
      <c r="J555" s="647">
        <v>3487100</v>
      </c>
      <c r="K555" s="647" t="s">
        <v>4169</v>
      </c>
      <c r="L555" s="647" t="s">
        <v>6353</v>
      </c>
      <c r="M555" s="647" t="s">
        <v>3826</v>
      </c>
      <c r="N555" s="648" t="e">
        <v>#N/A</v>
      </c>
    </row>
    <row r="556" spans="1:14" x14ac:dyDescent="0.35">
      <c r="A556" s="647">
        <v>4019</v>
      </c>
      <c r="B556" s="647" t="s">
        <v>6354</v>
      </c>
      <c r="C556" s="647" t="s">
        <v>6355</v>
      </c>
      <c r="D556" s="647" t="s">
        <v>3065</v>
      </c>
      <c r="E556" s="647" t="s">
        <v>3016</v>
      </c>
      <c r="F556" s="647">
        <v>14225</v>
      </c>
      <c r="G556" s="647" t="s">
        <v>6356</v>
      </c>
      <c r="H556" s="647" t="s">
        <v>5875</v>
      </c>
      <c r="I556" s="647" t="s">
        <v>4175</v>
      </c>
      <c r="J556" s="647">
        <v>13091815</v>
      </c>
      <c r="K556" s="647" t="s">
        <v>4259</v>
      </c>
      <c r="L556" s="647" t="s">
        <v>6357</v>
      </c>
      <c r="M556" s="647" t="s">
        <v>3826</v>
      </c>
      <c r="N556" s="648" t="e">
        <v>#N/A</v>
      </c>
    </row>
    <row r="557" spans="1:14" x14ac:dyDescent="0.35">
      <c r="A557" s="647">
        <v>4062</v>
      </c>
      <c r="B557" s="647" t="s">
        <v>6358</v>
      </c>
      <c r="C557" s="647" t="s">
        <v>6359</v>
      </c>
      <c r="D557" s="647" t="s">
        <v>2222</v>
      </c>
      <c r="E557" s="647" t="s">
        <v>3016</v>
      </c>
      <c r="F557" s="647">
        <v>12993</v>
      </c>
      <c r="G557" s="647" t="s">
        <v>6360</v>
      </c>
      <c r="H557" s="649"/>
      <c r="I557" s="649"/>
      <c r="J557" s="647">
        <v>3948033</v>
      </c>
      <c r="K557" s="647" t="s">
        <v>5832</v>
      </c>
      <c r="L557" s="647" t="s">
        <v>6361</v>
      </c>
      <c r="M557" s="647" t="s">
        <v>3826</v>
      </c>
      <c r="N557" s="648" t="e">
        <v>#N/A</v>
      </c>
    </row>
    <row r="558" spans="1:14" x14ac:dyDescent="0.35">
      <c r="A558" s="647">
        <v>4063</v>
      </c>
      <c r="B558" s="647" t="s">
        <v>6362</v>
      </c>
      <c r="C558" s="647" t="s">
        <v>6363</v>
      </c>
      <c r="D558" s="647" t="s">
        <v>3068</v>
      </c>
      <c r="E558" s="647" t="s">
        <v>3016</v>
      </c>
      <c r="F558" s="647">
        <v>14424</v>
      </c>
      <c r="G558" s="647" t="s">
        <v>6364</v>
      </c>
      <c r="H558" s="647" t="s">
        <v>5875</v>
      </c>
      <c r="I558" s="647" t="s">
        <v>5582</v>
      </c>
      <c r="J558" s="647">
        <v>1815341</v>
      </c>
      <c r="K558" s="647" t="s">
        <v>4023</v>
      </c>
      <c r="L558" s="647" t="s">
        <v>6365</v>
      </c>
      <c r="M558" s="647" t="s">
        <v>3826</v>
      </c>
      <c r="N558" s="648" t="e">
        <v>#N/A</v>
      </c>
    </row>
    <row r="559" spans="1:14" x14ac:dyDescent="0.35">
      <c r="A559" s="647">
        <v>4073</v>
      </c>
      <c r="B559" s="647" t="s">
        <v>6366</v>
      </c>
      <c r="C559" s="647" t="s">
        <v>6367</v>
      </c>
      <c r="D559" s="647" t="s">
        <v>3070</v>
      </c>
      <c r="E559" s="647" t="s">
        <v>3016</v>
      </c>
      <c r="F559" s="647" t="s">
        <v>6368</v>
      </c>
      <c r="G559" s="647" t="s">
        <v>6369</v>
      </c>
      <c r="H559" s="649"/>
      <c r="I559" s="649"/>
      <c r="J559" s="647"/>
      <c r="K559" s="647" t="s">
        <v>4628</v>
      </c>
      <c r="L559" s="647" t="s">
        <v>6370</v>
      </c>
      <c r="M559" s="647" t="s">
        <v>3826</v>
      </c>
      <c r="N559" s="648" t="e">
        <v>#N/A</v>
      </c>
    </row>
    <row r="560" spans="1:14" x14ac:dyDescent="0.35">
      <c r="A560" s="647">
        <v>4077</v>
      </c>
      <c r="B560" s="647" t="s">
        <v>6371</v>
      </c>
      <c r="C560" s="647" t="s">
        <v>6372</v>
      </c>
      <c r="D560" s="647" t="s">
        <v>3072</v>
      </c>
      <c r="E560" s="647" t="s">
        <v>3016</v>
      </c>
      <c r="F560" s="647">
        <v>130452541</v>
      </c>
      <c r="G560" s="647" t="s">
        <v>6373</v>
      </c>
      <c r="H560" s="647" t="s">
        <v>5875</v>
      </c>
      <c r="I560" s="647" t="s">
        <v>4083</v>
      </c>
      <c r="J560" s="647">
        <v>1791139</v>
      </c>
      <c r="K560" s="647" t="s">
        <v>6374</v>
      </c>
      <c r="L560" s="647" t="s">
        <v>6375</v>
      </c>
      <c r="M560" s="647" t="s">
        <v>3826</v>
      </c>
      <c r="N560" s="648" t="e">
        <v>#N/A</v>
      </c>
    </row>
    <row r="561" spans="1:14" x14ac:dyDescent="0.35">
      <c r="A561" s="647">
        <v>4081</v>
      </c>
      <c r="B561" s="647" t="s">
        <v>6376</v>
      </c>
      <c r="C561" s="647" t="s">
        <v>6377</v>
      </c>
      <c r="D561" s="647" t="s">
        <v>3074</v>
      </c>
      <c r="E561" s="647" t="s">
        <v>3016</v>
      </c>
      <c r="F561" s="647" t="s">
        <v>6378</v>
      </c>
      <c r="G561" s="647" t="s">
        <v>6379</v>
      </c>
      <c r="H561" s="647" t="s">
        <v>5875</v>
      </c>
      <c r="I561" s="647" t="s">
        <v>4083</v>
      </c>
      <c r="J561" s="647">
        <v>2369481</v>
      </c>
      <c r="K561" s="647" t="s">
        <v>6380</v>
      </c>
      <c r="L561" s="647" t="s">
        <v>6381</v>
      </c>
      <c r="M561" s="647" t="s">
        <v>3826</v>
      </c>
      <c r="N561" s="648" t="e">
        <v>#N/A</v>
      </c>
    </row>
    <row r="562" spans="1:14" x14ac:dyDescent="0.35">
      <c r="A562" s="647">
        <v>4085</v>
      </c>
      <c r="B562" s="647" t="s">
        <v>6382</v>
      </c>
      <c r="C562" s="647" t="s">
        <v>6383</v>
      </c>
      <c r="D562" s="647" t="s">
        <v>3076</v>
      </c>
      <c r="E562" s="647" t="s">
        <v>3016</v>
      </c>
      <c r="F562" s="647" t="s">
        <v>6384</v>
      </c>
      <c r="G562" s="647" t="s">
        <v>6385</v>
      </c>
      <c r="H562" s="649"/>
      <c r="I562" s="649"/>
      <c r="J562" s="647">
        <v>828735</v>
      </c>
      <c r="K562" s="647" t="s">
        <v>3984</v>
      </c>
      <c r="L562" s="647" t="s">
        <v>4275</v>
      </c>
      <c r="M562" s="647" t="s">
        <v>3826</v>
      </c>
      <c r="N562" s="648" t="e">
        <v>#N/A</v>
      </c>
    </row>
    <row r="563" spans="1:14" x14ac:dyDescent="0.35">
      <c r="A563" s="647">
        <v>4093</v>
      </c>
      <c r="B563" s="647" t="s">
        <v>6386</v>
      </c>
      <c r="C563" s="647" t="s">
        <v>6387</v>
      </c>
      <c r="D563" s="647" t="s">
        <v>3078</v>
      </c>
      <c r="E563" s="647" t="s">
        <v>3016</v>
      </c>
      <c r="F563" s="647" t="s">
        <v>6388</v>
      </c>
      <c r="G563" s="647" t="s">
        <v>6389</v>
      </c>
      <c r="H563" s="649"/>
      <c r="I563" s="649"/>
      <c r="J563" s="647">
        <v>746334</v>
      </c>
      <c r="K563" s="647" t="s">
        <v>3840</v>
      </c>
      <c r="L563" s="647" t="s">
        <v>6390</v>
      </c>
      <c r="M563" s="647" t="s">
        <v>3826</v>
      </c>
      <c r="N563" s="648" t="e">
        <v>#N/A</v>
      </c>
    </row>
    <row r="564" spans="1:14" x14ac:dyDescent="0.35">
      <c r="A564" s="647">
        <v>4105</v>
      </c>
      <c r="B564" s="647" t="s">
        <v>6391</v>
      </c>
      <c r="C564" s="647" t="s">
        <v>6392</v>
      </c>
      <c r="D564" s="647" t="s">
        <v>2893</v>
      </c>
      <c r="E564" s="647" t="s">
        <v>3016</v>
      </c>
      <c r="F564" s="647">
        <v>13069</v>
      </c>
      <c r="G564" s="647" t="s">
        <v>6393</v>
      </c>
      <c r="H564" s="647" t="s">
        <v>5875</v>
      </c>
      <c r="I564" s="647" t="s">
        <v>3995</v>
      </c>
      <c r="J564" s="647">
        <v>820717</v>
      </c>
      <c r="K564" s="647" t="s">
        <v>6394</v>
      </c>
      <c r="L564" s="647" t="s">
        <v>6395</v>
      </c>
      <c r="M564" s="647" t="s">
        <v>4078</v>
      </c>
      <c r="N564" s="648">
        <v>40391</v>
      </c>
    </row>
    <row r="565" spans="1:14" x14ac:dyDescent="0.35">
      <c r="A565" s="647">
        <v>4111</v>
      </c>
      <c r="B565" s="647" t="s">
        <v>6396</v>
      </c>
      <c r="C565" s="647" t="s">
        <v>6397</v>
      </c>
      <c r="D565" s="647" t="s">
        <v>3081</v>
      </c>
      <c r="E565" s="647" t="s">
        <v>3016</v>
      </c>
      <c r="F565" s="647" t="s">
        <v>6398</v>
      </c>
      <c r="G565" s="647" t="s">
        <v>6399</v>
      </c>
      <c r="H565" s="647" t="s">
        <v>5875</v>
      </c>
      <c r="I565" s="647" t="s">
        <v>4111</v>
      </c>
      <c r="J565" s="647">
        <v>756031</v>
      </c>
      <c r="K565" s="647" t="s">
        <v>5241</v>
      </c>
      <c r="L565" s="647" t="s">
        <v>6400</v>
      </c>
      <c r="M565" s="647" t="s">
        <v>3826</v>
      </c>
      <c r="N565" s="648">
        <v>40285</v>
      </c>
    </row>
    <row r="566" spans="1:14" x14ac:dyDescent="0.35">
      <c r="A566" s="647">
        <v>4115</v>
      </c>
      <c r="B566" s="647" t="s">
        <v>6401</v>
      </c>
      <c r="C566" s="647" t="s">
        <v>6402</v>
      </c>
      <c r="D566" s="647" t="s">
        <v>3083</v>
      </c>
      <c r="E566" s="647" t="s">
        <v>3016</v>
      </c>
      <c r="F566" s="647">
        <v>12801</v>
      </c>
      <c r="G566" s="647" t="s">
        <v>6403</v>
      </c>
      <c r="H566" s="647" t="s">
        <v>5875</v>
      </c>
      <c r="I566" s="647" t="s">
        <v>4253</v>
      </c>
      <c r="J566" s="647">
        <v>3577287</v>
      </c>
      <c r="K566" s="647" t="s">
        <v>4164</v>
      </c>
      <c r="L566" s="647" t="s">
        <v>6404</v>
      </c>
      <c r="M566" s="647" t="s">
        <v>3826</v>
      </c>
      <c r="N566" s="648" t="e">
        <v>#N/A</v>
      </c>
    </row>
    <row r="567" spans="1:14" x14ac:dyDescent="0.35">
      <c r="A567" s="647">
        <v>4116</v>
      </c>
      <c r="B567" s="647" t="s">
        <v>6405</v>
      </c>
      <c r="C567" s="647" t="s">
        <v>6406</v>
      </c>
      <c r="D567" s="647" t="s">
        <v>3085</v>
      </c>
      <c r="E567" s="647" t="s">
        <v>3016</v>
      </c>
      <c r="F567" s="647">
        <v>12874</v>
      </c>
      <c r="G567" s="647" t="s">
        <v>6407</v>
      </c>
      <c r="H567" s="647" t="s">
        <v>5875</v>
      </c>
      <c r="I567" s="647" t="s">
        <v>4083</v>
      </c>
      <c r="J567" s="647">
        <v>4970687</v>
      </c>
      <c r="K567" s="647" t="s">
        <v>4164</v>
      </c>
      <c r="L567" s="647" t="s">
        <v>6408</v>
      </c>
      <c r="M567" s="647" t="s">
        <v>3826</v>
      </c>
      <c r="N567" s="648">
        <v>40360</v>
      </c>
    </row>
    <row r="568" spans="1:14" x14ac:dyDescent="0.35">
      <c r="A568" s="647">
        <v>4123</v>
      </c>
      <c r="B568" s="647" t="s">
        <v>6409</v>
      </c>
      <c r="C568" s="647" t="s">
        <v>6410</v>
      </c>
      <c r="D568" s="647" t="s">
        <v>3087</v>
      </c>
      <c r="E568" s="647" t="s">
        <v>3016</v>
      </c>
      <c r="F568" s="647">
        <v>14843</v>
      </c>
      <c r="G568" s="647" t="s">
        <v>6411</v>
      </c>
      <c r="H568" s="647" t="s">
        <v>5875</v>
      </c>
      <c r="I568" s="647" t="s">
        <v>5565</v>
      </c>
      <c r="J568" s="647">
        <v>683859</v>
      </c>
      <c r="K568" s="647" t="s">
        <v>3860</v>
      </c>
      <c r="L568" s="647" t="s">
        <v>4338</v>
      </c>
      <c r="M568" s="647" t="s">
        <v>3826</v>
      </c>
      <c r="N568" s="648" t="e">
        <v>#N/A</v>
      </c>
    </row>
    <row r="569" spans="1:14" x14ac:dyDescent="0.35">
      <c r="A569" s="647">
        <v>4131</v>
      </c>
      <c r="B569" s="647" t="s">
        <v>6412</v>
      </c>
      <c r="C569" s="647" t="s">
        <v>6413</v>
      </c>
      <c r="D569" s="647" t="s">
        <v>3089</v>
      </c>
      <c r="E569" s="647" t="s">
        <v>3016</v>
      </c>
      <c r="F569" s="647">
        <v>14850</v>
      </c>
      <c r="G569" s="647" t="s">
        <v>6414</v>
      </c>
      <c r="H569" s="649"/>
      <c r="I569" s="649"/>
      <c r="J569" s="647">
        <v>1578672</v>
      </c>
      <c r="K569" s="647" t="s">
        <v>3978</v>
      </c>
      <c r="L569" s="647" t="s">
        <v>6415</v>
      </c>
      <c r="M569" s="647" t="s">
        <v>5100</v>
      </c>
      <c r="N569" s="648" t="e">
        <v>#N/A</v>
      </c>
    </row>
    <row r="570" spans="1:14" x14ac:dyDescent="0.35">
      <c r="A570" s="647">
        <v>4135</v>
      </c>
      <c r="B570" s="647" t="s">
        <v>6416</v>
      </c>
      <c r="C570" s="647" t="s">
        <v>6417</v>
      </c>
      <c r="D570" s="647" t="s">
        <v>3091</v>
      </c>
      <c r="E570" s="647" t="s">
        <v>3016</v>
      </c>
      <c r="F570" s="647">
        <v>14701</v>
      </c>
      <c r="G570" s="647" t="s">
        <v>6418</v>
      </c>
      <c r="H570" s="647" t="s">
        <v>5875</v>
      </c>
      <c r="I570" s="647" t="s">
        <v>4083</v>
      </c>
      <c r="J570" s="647">
        <v>3334817</v>
      </c>
      <c r="K570" s="647" t="s">
        <v>3860</v>
      </c>
      <c r="L570" s="647" t="s">
        <v>6419</v>
      </c>
      <c r="M570" s="647" t="s">
        <v>3826</v>
      </c>
      <c r="N570" s="648" t="e">
        <v>#N/A</v>
      </c>
    </row>
    <row r="571" spans="1:14" x14ac:dyDescent="0.35">
      <c r="A571" s="647">
        <v>4143</v>
      </c>
      <c r="B571" s="647" t="s">
        <v>6420</v>
      </c>
      <c r="C571" s="647" t="s">
        <v>6421</v>
      </c>
      <c r="D571" s="647" t="s">
        <v>2970</v>
      </c>
      <c r="E571" s="647" t="s">
        <v>3016</v>
      </c>
      <c r="F571" s="647">
        <v>12401</v>
      </c>
      <c r="G571" s="647" t="s">
        <v>6422</v>
      </c>
      <c r="H571" s="647" t="s">
        <v>5875</v>
      </c>
      <c r="I571" s="647" t="s">
        <v>4111</v>
      </c>
      <c r="J571" s="647">
        <v>3357466</v>
      </c>
      <c r="K571" s="647" t="s">
        <v>3885</v>
      </c>
      <c r="L571" s="647" t="s">
        <v>4480</v>
      </c>
      <c r="M571" s="647" t="s">
        <v>3826</v>
      </c>
      <c r="N571" s="648">
        <v>40179</v>
      </c>
    </row>
    <row r="572" spans="1:14" x14ac:dyDescent="0.35">
      <c r="A572" s="647">
        <v>4147</v>
      </c>
      <c r="B572" s="647" t="s">
        <v>6423</v>
      </c>
      <c r="C572" s="647" t="s">
        <v>6424</v>
      </c>
      <c r="D572" s="647" t="s">
        <v>3094</v>
      </c>
      <c r="E572" s="647" t="s">
        <v>3016</v>
      </c>
      <c r="F572" s="647" t="s">
        <v>6425</v>
      </c>
      <c r="G572" s="647" t="s">
        <v>6426</v>
      </c>
      <c r="H572" s="649"/>
      <c r="I572" s="649"/>
      <c r="J572" s="647">
        <v>456966</v>
      </c>
      <c r="K572" s="647" t="s">
        <v>6427</v>
      </c>
      <c r="L572" s="647" t="s">
        <v>6428</v>
      </c>
      <c r="M572" s="647" t="s">
        <v>3826</v>
      </c>
      <c r="N572" s="648" t="e">
        <v>#N/A</v>
      </c>
    </row>
    <row r="573" spans="1:14" x14ac:dyDescent="0.35">
      <c r="A573" s="647">
        <v>4151</v>
      </c>
      <c r="B573" s="647" t="s">
        <v>6429</v>
      </c>
      <c r="C573" s="647" t="s">
        <v>6430</v>
      </c>
      <c r="D573" s="647" t="s">
        <v>3096</v>
      </c>
      <c r="E573" s="647" t="s">
        <v>3016</v>
      </c>
      <c r="F573" s="647" t="s">
        <v>6431</v>
      </c>
      <c r="G573" s="647" t="s">
        <v>6432</v>
      </c>
      <c r="H573" s="647" t="s">
        <v>5875</v>
      </c>
      <c r="I573" s="647" t="s">
        <v>4083</v>
      </c>
      <c r="J573" s="647">
        <v>1575970</v>
      </c>
      <c r="K573" s="647" t="s">
        <v>3860</v>
      </c>
      <c r="L573" s="647" t="s">
        <v>6433</v>
      </c>
      <c r="M573" s="647" t="s">
        <v>4078</v>
      </c>
      <c r="N573" s="648" t="e">
        <v>#N/A</v>
      </c>
    </row>
    <row r="574" spans="1:14" x14ac:dyDescent="0.35">
      <c r="A574" s="647">
        <v>4155</v>
      </c>
      <c r="B574" s="647" t="s">
        <v>6434</v>
      </c>
      <c r="C574" s="647" t="s">
        <v>6435</v>
      </c>
      <c r="D574" s="647" t="s">
        <v>3098</v>
      </c>
      <c r="E574" s="647" t="s">
        <v>3016</v>
      </c>
      <c r="F574" s="647" t="s">
        <v>6436</v>
      </c>
      <c r="G574" s="647" t="s">
        <v>6437</v>
      </c>
      <c r="H574" s="647" t="s">
        <v>3924</v>
      </c>
      <c r="I574" s="647" t="s">
        <v>4253</v>
      </c>
      <c r="J574" s="647">
        <v>313883</v>
      </c>
      <c r="K574" s="647" t="s">
        <v>4558</v>
      </c>
      <c r="L574" s="647" t="s">
        <v>6438</v>
      </c>
      <c r="M574" s="647" t="s">
        <v>4078</v>
      </c>
      <c r="N574" s="648" t="e">
        <v>#N/A</v>
      </c>
    </row>
    <row r="575" spans="1:14" x14ac:dyDescent="0.35">
      <c r="A575" s="647">
        <v>4163</v>
      </c>
      <c r="B575" s="647" t="s">
        <v>6439</v>
      </c>
      <c r="C575" s="647" t="s">
        <v>6440</v>
      </c>
      <c r="D575" s="647" t="s">
        <v>2198</v>
      </c>
      <c r="E575" s="647" t="s">
        <v>3016</v>
      </c>
      <c r="F575" s="647">
        <v>10940</v>
      </c>
      <c r="G575" s="647" t="s">
        <v>6441</v>
      </c>
      <c r="H575" s="647" t="s">
        <v>3924</v>
      </c>
      <c r="I575" s="647" t="s">
        <v>4083</v>
      </c>
      <c r="J575" s="647">
        <v>3506491</v>
      </c>
      <c r="K575" s="647" t="s">
        <v>4563</v>
      </c>
      <c r="L575" s="647" t="s">
        <v>6442</v>
      </c>
      <c r="M575" s="647" t="s">
        <v>3826</v>
      </c>
      <c r="N575" s="648" t="e">
        <v>#N/A</v>
      </c>
    </row>
    <row r="576" spans="1:14" x14ac:dyDescent="0.35">
      <c r="A576" s="647">
        <v>4171</v>
      </c>
      <c r="B576" s="647" t="s">
        <v>6443</v>
      </c>
      <c r="C576" s="647" t="s">
        <v>6444</v>
      </c>
      <c r="D576" s="647" t="s">
        <v>3101</v>
      </c>
      <c r="E576" s="647" t="s">
        <v>3016</v>
      </c>
      <c r="F576" s="647">
        <v>11542</v>
      </c>
      <c r="G576" s="647" t="s">
        <v>6445</v>
      </c>
      <c r="H576" s="647" t="s">
        <v>5875</v>
      </c>
      <c r="I576" s="647" t="s">
        <v>3995</v>
      </c>
      <c r="J576" s="647">
        <v>27468238</v>
      </c>
      <c r="K576" s="647" t="s">
        <v>4453</v>
      </c>
      <c r="L576" s="647" t="s">
        <v>6446</v>
      </c>
      <c r="M576" s="647" t="s">
        <v>4078</v>
      </c>
      <c r="N576" s="648">
        <v>40009</v>
      </c>
    </row>
    <row r="577" spans="1:14" x14ac:dyDescent="0.35">
      <c r="A577" s="647">
        <v>4207</v>
      </c>
      <c r="B577" s="647" t="s">
        <v>6447</v>
      </c>
      <c r="C577" s="647" t="s">
        <v>6448</v>
      </c>
      <c r="D577" s="647" t="s">
        <v>3103</v>
      </c>
      <c r="E577" s="647" t="s">
        <v>3016</v>
      </c>
      <c r="F577" s="647">
        <v>12550</v>
      </c>
      <c r="G577" s="647" t="s">
        <v>6449</v>
      </c>
      <c r="H577" s="647" t="s">
        <v>5875</v>
      </c>
      <c r="I577" s="647" t="s">
        <v>4083</v>
      </c>
      <c r="J577" s="647">
        <v>1141237</v>
      </c>
      <c r="K577" s="647" t="s">
        <v>6450</v>
      </c>
      <c r="L577" s="647" t="s">
        <v>4962</v>
      </c>
      <c r="M577" s="647" t="s">
        <v>4078</v>
      </c>
      <c r="N577" s="648">
        <v>40299</v>
      </c>
    </row>
    <row r="578" spans="1:14" x14ac:dyDescent="0.35">
      <c r="A578" s="647">
        <v>4211</v>
      </c>
      <c r="B578" s="647" t="s">
        <v>6451</v>
      </c>
      <c r="C578" s="647" t="s">
        <v>6452</v>
      </c>
      <c r="D578" s="647" t="s">
        <v>3105</v>
      </c>
      <c r="E578" s="647" t="s">
        <v>3016</v>
      </c>
      <c r="F578" s="647" t="s">
        <v>6453</v>
      </c>
      <c r="G578" s="647" t="s">
        <v>6454</v>
      </c>
      <c r="H578" s="647" t="s">
        <v>5875</v>
      </c>
      <c r="I578" s="647" t="s">
        <v>4111</v>
      </c>
      <c r="J578" s="647">
        <v>1790308</v>
      </c>
      <c r="K578" s="647" t="s">
        <v>6455</v>
      </c>
      <c r="L578" s="647" t="s">
        <v>6456</v>
      </c>
      <c r="M578" s="647" t="s">
        <v>4078</v>
      </c>
      <c r="N578" s="648">
        <v>40360</v>
      </c>
    </row>
    <row r="579" spans="1:14" x14ac:dyDescent="0.35">
      <c r="A579" s="647">
        <v>4221</v>
      </c>
      <c r="B579" s="647" t="s">
        <v>6457</v>
      </c>
      <c r="C579" s="647" t="s">
        <v>6458</v>
      </c>
      <c r="D579" s="647" t="s">
        <v>3107</v>
      </c>
      <c r="E579" s="647" t="s">
        <v>3016</v>
      </c>
      <c r="F579" s="647">
        <v>10023</v>
      </c>
      <c r="G579" s="647" t="s">
        <v>6459</v>
      </c>
      <c r="H579" s="647" t="s">
        <v>5875</v>
      </c>
      <c r="I579" s="647" t="s">
        <v>4175</v>
      </c>
      <c r="J579" s="647">
        <v>147066636</v>
      </c>
      <c r="K579" s="647" t="s">
        <v>5241</v>
      </c>
      <c r="L579" s="647" t="s">
        <v>6460</v>
      </c>
      <c r="M579" s="647" t="s">
        <v>3826</v>
      </c>
      <c r="N579" s="648" t="e">
        <v>#N/A</v>
      </c>
    </row>
    <row r="580" spans="1:14" x14ac:dyDescent="0.35">
      <c r="A580" s="647">
        <v>4338</v>
      </c>
      <c r="B580" s="647" t="s">
        <v>6461</v>
      </c>
      <c r="C580" s="647" t="s">
        <v>6462</v>
      </c>
      <c r="D580" s="647" t="s">
        <v>2204</v>
      </c>
      <c r="E580" s="647" t="s">
        <v>3016</v>
      </c>
      <c r="F580" s="647" t="s">
        <v>6463</v>
      </c>
      <c r="G580" s="647" t="s">
        <v>6464</v>
      </c>
      <c r="H580" s="649"/>
      <c r="I580" s="649"/>
      <c r="J580" s="647">
        <v>1393598</v>
      </c>
      <c r="K580" s="647" t="s">
        <v>5085</v>
      </c>
      <c r="L580" s="647" t="s">
        <v>6465</v>
      </c>
      <c r="M580" s="647" t="s">
        <v>4078</v>
      </c>
      <c r="N580" s="648" t="e">
        <v>#N/A</v>
      </c>
    </row>
    <row r="581" spans="1:14" x14ac:dyDescent="0.35">
      <c r="A581" s="647">
        <v>4342</v>
      </c>
      <c r="B581" s="647" t="s">
        <v>6466</v>
      </c>
      <c r="C581" s="647" t="s">
        <v>6467</v>
      </c>
      <c r="D581" s="647" t="s">
        <v>3110</v>
      </c>
      <c r="E581" s="647" t="s">
        <v>3016</v>
      </c>
      <c r="F581" s="647" t="s">
        <v>6468</v>
      </c>
      <c r="G581" s="647" t="s">
        <v>6469</v>
      </c>
      <c r="H581" s="647" t="s">
        <v>5875</v>
      </c>
      <c r="I581" s="647" t="s">
        <v>3995</v>
      </c>
      <c r="J581" s="647">
        <v>4804174</v>
      </c>
      <c r="K581" s="647" t="s">
        <v>6470</v>
      </c>
      <c r="L581" s="647" t="s">
        <v>6471</v>
      </c>
      <c r="M581" s="647" t="s">
        <v>3826</v>
      </c>
      <c r="N581" s="648">
        <v>40210</v>
      </c>
    </row>
    <row r="582" spans="1:14" x14ac:dyDescent="0.35">
      <c r="A582" s="647">
        <v>4346</v>
      </c>
      <c r="B582" s="647" t="s">
        <v>6472</v>
      </c>
      <c r="C582" s="647" t="s">
        <v>6473</v>
      </c>
      <c r="D582" s="647" t="s">
        <v>3112</v>
      </c>
      <c r="E582" s="647" t="s">
        <v>3016</v>
      </c>
      <c r="F582" s="647" t="s">
        <v>6474</v>
      </c>
      <c r="G582" s="647" t="s">
        <v>6475</v>
      </c>
      <c r="H582" s="649"/>
      <c r="I582" s="649"/>
      <c r="J582" s="647">
        <v>805752</v>
      </c>
      <c r="K582" s="647" t="s">
        <v>6476</v>
      </c>
      <c r="L582" s="647" t="s">
        <v>6477</v>
      </c>
      <c r="M582" s="647" t="s">
        <v>4078</v>
      </c>
      <c r="N582" s="648" t="e">
        <v>#N/A</v>
      </c>
    </row>
    <row r="583" spans="1:14" x14ac:dyDescent="0.35">
      <c r="A583" s="647">
        <v>4350</v>
      </c>
      <c r="B583" s="647" t="s">
        <v>6478</v>
      </c>
      <c r="C583" s="647" t="s">
        <v>6479</v>
      </c>
      <c r="D583" s="647" t="s">
        <v>3114</v>
      </c>
      <c r="E583" s="647" t="s">
        <v>3016</v>
      </c>
      <c r="F583" s="647" t="s">
        <v>6480</v>
      </c>
      <c r="G583" s="647" t="s">
        <v>6481</v>
      </c>
      <c r="H583" s="649"/>
      <c r="I583" s="649"/>
      <c r="J583" s="647">
        <v>1371152</v>
      </c>
      <c r="K583" s="647" t="s">
        <v>6482</v>
      </c>
      <c r="L583" s="647" t="s">
        <v>6483</v>
      </c>
      <c r="M583" s="647" t="s">
        <v>3826</v>
      </c>
      <c r="N583" s="648" t="e">
        <v>#N/A</v>
      </c>
    </row>
    <row r="584" spans="1:14" x14ac:dyDescent="0.35">
      <c r="A584" s="647">
        <v>4354</v>
      </c>
      <c r="B584" s="647" t="s">
        <v>6484</v>
      </c>
      <c r="C584" s="647" t="s">
        <v>6485</v>
      </c>
      <c r="D584" s="647" t="s">
        <v>3116</v>
      </c>
      <c r="E584" s="647" t="s">
        <v>3016</v>
      </c>
      <c r="F584" s="647" t="s">
        <v>6486</v>
      </c>
      <c r="G584" s="647" t="s">
        <v>6487</v>
      </c>
      <c r="H584" s="649"/>
      <c r="I584" s="649"/>
      <c r="J584" s="647">
        <v>2025496</v>
      </c>
      <c r="K584" s="647" t="s">
        <v>4280</v>
      </c>
      <c r="L584" s="647" t="s">
        <v>6488</v>
      </c>
      <c r="M584" s="647" t="s">
        <v>4078</v>
      </c>
      <c r="N584" s="648" t="e">
        <v>#N/A</v>
      </c>
    </row>
    <row r="585" spans="1:14" x14ac:dyDescent="0.35">
      <c r="A585" s="647">
        <v>4362</v>
      </c>
      <c r="B585" s="647" t="s">
        <v>6489</v>
      </c>
      <c r="C585" s="647" t="s">
        <v>6490</v>
      </c>
      <c r="D585" s="647" t="s">
        <v>3118</v>
      </c>
      <c r="E585" s="647" t="s">
        <v>3016</v>
      </c>
      <c r="F585" s="647">
        <v>12601</v>
      </c>
      <c r="G585" s="647" t="s">
        <v>6491</v>
      </c>
      <c r="H585" s="647" t="s">
        <v>3924</v>
      </c>
      <c r="I585" s="647" t="s">
        <v>4111</v>
      </c>
      <c r="J585" s="647">
        <v>1330912</v>
      </c>
      <c r="K585" s="647" t="s">
        <v>6450</v>
      </c>
      <c r="L585" s="649"/>
      <c r="M585" s="649"/>
      <c r="N585" s="648">
        <v>40436</v>
      </c>
    </row>
    <row r="586" spans="1:14" x14ac:dyDescent="0.35">
      <c r="A586" s="647">
        <v>4368</v>
      </c>
      <c r="B586" s="647" t="s">
        <v>6492</v>
      </c>
      <c r="C586" s="647" t="s">
        <v>6493</v>
      </c>
      <c r="D586" s="647" t="s">
        <v>2842</v>
      </c>
      <c r="E586" s="647" t="s">
        <v>3016</v>
      </c>
      <c r="F586" s="647">
        <v>14604</v>
      </c>
      <c r="G586" s="647" t="s">
        <v>6494</v>
      </c>
      <c r="H586" s="647" t="s">
        <v>5875</v>
      </c>
      <c r="I586" s="647" t="s">
        <v>4083</v>
      </c>
      <c r="J586" s="647">
        <v>38623581</v>
      </c>
      <c r="K586" s="647" t="s">
        <v>5009</v>
      </c>
      <c r="L586" s="647" t="s">
        <v>6495</v>
      </c>
      <c r="M586" s="647" t="s">
        <v>3826</v>
      </c>
      <c r="N586" s="648">
        <v>40269</v>
      </c>
    </row>
    <row r="587" spans="1:14" x14ac:dyDescent="0.35">
      <c r="A587" s="647">
        <v>4400</v>
      </c>
      <c r="B587" s="647" t="s">
        <v>6496</v>
      </c>
      <c r="C587" s="647" t="s">
        <v>6497</v>
      </c>
      <c r="D587" s="647" t="s">
        <v>3121</v>
      </c>
      <c r="E587" s="647" t="s">
        <v>3016</v>
      </c>
      <c r="F587" s="647">
        <v>97501</v>
      </c>
      <c r="G587" s="647" t="s">
        <v>6498</v>
      </c>
      <c r="H587" s="647" t="s">
        <v>5875</v>
      </c>
      <c r="I587" s="647" t="s">
        <v>3995</v>
      </c>
      <c r="J587" s="647">
        <v>4743714</v>
      </c>
      <c r="K587" s="647" t="s">
        <v>5672</v>
      </c>
      <c r="L587" s="647" t="s">
        <v>6499</v>
      </c>
      <c r="M587" s="647" t="s">
        <v>3826</v>
      </c>
      <c r="N587" s="648">
        <v>40391</v>
      </c>
    </row>
    <row r="588" spans="1:14" x14ac:dyDescent="0.35">
      <c r="A588" s="647">
        <v>4404</v>
      </c>
      <c r="B588" s="647" t="s">
        <v>6500</v>
      </c>
      <c r="C588" s="647" t="s">
        <v>6501</v>
      </c>
      <c r="D588" s="647" t="s">
        <v>2300</v>
      </c>
      <c r="E588" s="647" t="s">
        <v>3016</v>
      </c>
      <c r="F588" s="647" t="s">
        <v>6502</v>
      </c>
      <c r="G588" s="647" t="s">
        <v>6503</v>
      </c>
      <c r="H588" s="647" t="s">
        <v>5875</v>
      </c>
      <c r="I588" s="647" t="s">
        <v>3995</v>
      </c>
      <c r="J588" s="647">
        <v>3700363</v>
      </c>
      <c r="K588" s="647" t="s">
        <v>6504</v>
      </c>
      <c r="L588" s="647" t="s">
        <v>6505</v>
      </c>
      <c r="M588" s="647" t="s">
        <v>3826</v>
      </c>
      <c r="N588" s="648">
        <v>40206</v>
      </c>
    </row>
    <row r="589" spans="1:14" x14ac:dyDescent="0.35">
      <c r="A589" s="647">
        <v>4408</v>
      </c>
      <c r="B589" s="647" t="s">
        <v>6506</v>
      </c>
      <c r="C589" s="647" t="s">
        <v>6507</v>
      </c>
      <c r="D589" s="647" t="s">
        <v>3124</v>
      </c>
      <c r="E589" s="647" t="s">
        <v>3016</v>
      </c>
      <c r="F589" s="647">
        <v>10580</v>
      </c>
      <c r="G589" s="647" t="s">
        <v>6508</v>
      </c>
      <c r="H589" s="647" t="s">
        <v>5875</v>
      </c>
      <c r="I589" s="647" t="s">
        <v>3995</v>
      </c>
      <c r="J589" s="647">
        <v>6899934</v>
      </c>
      <c r="K589" s="647" t="s">
        <v>5641</v>
      </c>
      <c r="L589" s="647" t="s">
        <v>6509</v>
      </c>
      <c r="M589" s="647" t="s">
        <v>3826</v>
      </c>
      <c r="N589" s="648">
        <v>40360</v>
      </c>
    </row>
    <row r="590" spans="1:14" x14ac:dyDescent="0.35">
      <c r="A590" s="647">
        <v>4412</v>
      </c>
      <c r="B590" s="647" t="s">
        <v>6510</v>
      </c>
      <c r="C590" s="647" t="s">
        <v>6511</v>
      </c>
      <c r="D590" s="647" t="s">
        <v>3126</v>
      </c>
      <c r="E590" s="647" t="s">
        <v>3016</v>
      </c>
      <c r="F590" s="647">
        <v>12866</v>
      </c>
      <c r="G590" s="647" t="s">
        <v>6512</v>
      </c>
      <c r="H590" s="647" t="s">
        <v>3924</v>
      </c>
      <c r="I590" s="647" t="s">
        <v>4253</v>
      </c>
      <c r="J590" s="647">
        <v>7703900</v>
      </c>
      <c r="K590" s="647" t="s">
        <v>5085</v>
      </c>
      <c r="L590" s="647" t="s">
        <v>6513</v>
      </c>
      <c r="M590" s="647" t="s">
        <v>4078</v>
      </c>
      <c r="N590" s="648" t="e">
        <v>#N/A</v>
      </c>
    </row>
    <row r="591" spans="1:14" x14ac:dyDescent="0.35">
      <c r="A591" s="647">
        <v>4416</v>
      </c>
      <c r="B591" s="647" t="s">
        <v>6514</v>
      </c>
      <c r="C591" s="647" t="s">
        <v>6515</v>
      </c>
      <c r="D591" s="647" t="s">
        <v>2284</v>
      </c>
      <c r="E591" s="647" t="s">
        <v>3016</v>
      </c>
      <c r="F591" s="647">
        <v>12205</v>
      </c>
      <c r="G591" s="647" t="s">
        <v>6516</v>
      </c>
      <c r="H591" s="649"/>
      <c r="I591" s="649"/>
      <c r="J591" s="647">
        <v>32031240</v>
      </c>
      <c r="K591" s="647" t="s">
        <v>4164</v>
      </c>
      <c r="L591" s="647" t="s">
        <v>4165</v>
      </c>
      <c r="M591" s="647" t="s">
        <v>3836</v>
      </c>
      <c r="N591" s="648" t="e">
        <v>#N/A</v>
      </c>
    </row>
    <row r="592" spans="1:14" x14ac:dyDescent="0.35">
      <c r="A592" s="647">
        <v>4432</v>
      </c>
      <c r="B592" s="647" t="s">
        <v>6517</v>
      </c>
      <c r="C592" s="647" t="s">
        <v>6518</v>
      </c>
      <c r="D592" s="647" t="s">
        <v>3129</v>
      </c>
      <c r="E592" s="647" t="s">
        <v>3016</v>
      </c>
      <c r="F592" s="647">
        <v>13202</v>
      </c>
      <c r="G592" s="647" t="s">
        <v>6519</v>
      </c>
      <c r="H592" s="647" t="s">
        <v>5875</v>
      </c>
      <c r="I592" s="647" t="s">
        <v>4083</v>
      </c>
      <c r="J592" s="647">
        <v>13956388</v>
      </c>
      <c r="K592" s="647" t="s">
        <v>6112</v>
      </c>
      <c r="L592" s="647" t="s">
        <v>6520</v>
      </c>
      <c r="M592" s="647" t="s">
        <v>3826</v>
      </c>
      <c r="N592" s="648">
        <v>40179</v>
      </c>
    </row>
    <row r="593" spans="1:14" x14ac:dyDescent="0.35">
      <c r="A593" s="647">
        <v>4440</v>
      </c>
      <c r="B593" s="647" t="s">
        <v>6521</v>
      </c>
      <c r="C593" s="647" t="s">
        <v>6522</v>
      </c>
      <c r="D593" s="647" t="s">
        <v>6523</v>
      </c>
      <c r="E593" s="647" t="s">
        <v>3016</v>
      </c>
      <c r="F593" s="647" t="s">
        <v>6524</v>
      </c>
      <c r="G593" s="647" t="s">
        <v>6525</v>
      </c>
      <c r="H593" s="649"/>
      <c r="I593" s="649"/>
      <c r="J593" s="647"/>
      <c r="K593" s="647" t="s">
        <v>6526</v>
      </c>
      <c r="L593" s="647" t="s">
        <v>6527</v>
      </c>
      <c r="M593" s="647" t="s">
        <v>3826</v>
      </c>
      <c r="N593" s="648" t="e">
        <v>#N/A</v>
      </c>
    </row>
    <row r="594" spans="1:14" x14ac:dyDescent="0.35">
      <c r="A594" s="647">
        <v>4450</v>
      </c>
      <c r="B594" s="647" t="s">
        <v>6528</v>
      </c>
      <c r="C594" s="647" t="s">
        <v>6529</v>
      </c>
      <c r="D594" s="647" t="s">
        <v>3131</v>
      </c>
      <c r="E594" s="647" t="s">
        <v>3016</v>
      </c>
      <c r="F594" s="647" t="s">
        <v>6530</v>
      </c>
      <c r="G594" s="647" t="s">
        <v>6531</v>
      </c>
      <c r="H594" s="649"/>
      <c r="I594" s="649"/>
      <c r="J594" s="647">
        <v>2211853</v>
      </c>
      <c r="K594" s="647" t="s">
        <v>5301</v>
      </c>
      <c r="L594" s="647" t="s">
        <v>6532</v>
      </c>
      <c r="M594" s="647" t="s">
        <v>3826</v>
      </c>
      <c r="N594" s="648" t="e">
        <v>#N/A</v>
      </c>
    </row>
    <row r="595" spans="1:14" x14ac:dyDescent="0.35">
      <c r="A595" s="647">
        <v>4452</v>
      </c>
      <c r="B595" s="647" t="s">
        <v>6533</v>
      </c>
      <c r="C595" s="647" t="s">
        <v>6534</v>
      </c>
      <c r="D595" s="647" t="s">
        <v>3133</v>
      </c>
      <c r="E595" s="647" t="s">
        <v>3016</v>
      </c>
      <c r="F595" s="647">
        <v>13601</v>
      </c>
      <c r="G595" s="647" t="s">
        <v>6535</v>
      </c>
      <c r="H595" s="647" t="s">
        <v>3924</v>
      </c>
      <c r="I595" s="647" t="s">
        <v>4083</v>
      </c>
      <c r="J595" s="647">
        <v>3505820</v>
      </c>
      <c r="K595" s="647" t="s">
        <v>4568</v>
      </c>
      <c r="L595" s="647" t="s">
        <v>6536</v>
      </c>
      <c r="M595" s="647" t="s">
        <v>3826</v>
      </c>
      <c r="N595" s="648" t="e">
        <v>#N/A</v>
      </c>
    </row>
    <row r="596" spans="1:14" x14ac:dyDescent="0.35">
      <c r="A596" s="647">
        <v>4456</v>
      </c>
      <c r="B596" s="647" t="s">
        <v>6537</v>
      </c>
      <c r="C596" s="647" t="s">
        <v>6538</v>
      </c>
      <c r="D596" s="647" t="s">
        <v>3135</v>
      </c>
      <c r="E596" s="647" t="s">
        <v>2177</v>
      </c>
      <c r="F596" s="647">
        <v>6039</v>
      </c>
      <c r="G596" s="647" t="s">
        <v>6539</v>
      </c>
      <c r="H596" s="647" t="s">
        <v>4247</v>
      </c>
      <c r="I596" s="647" t="s">
        <v>4264</v>
      </c>
      <c r="J596" s="647">
        <v>1346336</v>
      </c>
      <c r="K596" s="647" t="s">
        <v>6540</v>
      </c>
      <c r="L596" s="647" t="s">
        <v>6541</v>
      </c>
      <c r="M596" s="647" t="s">
        <v>3826</v>
      </c>
      <c r="N596" s="648">
        <v>40179</v>
      </c>
    </row>
    <row r="597" spans="1:14" x14ac:dyDescent="0.35">
      <c r="A597" s="647">
        <v>4460</v>
      </c>
      <c r="B597" s="647" t="s">
        <v>6542</v>
      </c>
      <c r="C597" s="647" t="s">
        <v>6543</v>
      </c>
      <c r="D597" s="647" t="s">
        <v>3137</v>
      </c>
      <c r="E597" s="647" t="s">
        <v>3016</v>
      </c>
      <c r="F597" s="647">
        <v>10605</v>
      </c>
      <c r="G597" s="647" t="s">
        <v>6544</v>
      </c>
      <c r="H597" s="649"/>
      <c r="I597" s="649"/>
      <c r="J597" s="647">
        <v>8419520</v>
      </c>
      <c r="K597" s="647" t="s">
        <v>3885</v>
      </c>
      <c r="L597" s="647" t="s">
        <v>6545</v>
      </c>
      <c r="M597" s="647" t="s">
        <v>3826</v>
      </c>
      <c r="N597" s="648" t="e">
        <v>#N/A</v>
      </c>
    </row>
    <row r="598" spans="1:14" x14ac:dyDescent="0.35">
      <c r="A598" s="647">
        <v>4468</v>
      </c>
      <c r="B598" s="647" t="s">
        <v>6546</v>
      </c>
      <c r="C598" s="647" t="s">
        <v>6547</v>
      </c>
      <c r="D598" s="647" t="s">
        <v>3139</v>
      </c>
      <c r="E598" s="647" t="s">
        <v>3016</v>
      </c>
      <c r="F598" s="647">
        <v>10701</v>
      </c>
      <c r="G598" s="647" t="s">
        <v>6548</v>
      </c>
      <c r="H598" s="647" t="s">
        <v>5875</v>
      </c>
      <c r="I598" s="647" t="s">
        <v>4083</v>
      </c>
      <c r="J598" s="647"/>
      <c r="K598" s="647" t="s">
        <v>6549</v>
      </c>
      <c r="L598" s="647" t="s">
        <v>4802</v>
      </c>
      <c r="M598" s="647" t="s">
        <v>3826</v>
      </c>
      <c r="N598" s="648">
        <v>40399</v>
      </c>
    </row>
    <row r="599" spans="1:14" x14ac:dyDescent="0.35">
      <c r="A599" s="647">
        <v>4470</v>
      </c>
      <c r="B599" s="647" t="s">
        <v>6550</v>
      </c>
      <c r="C599" s="647" t="s">
        <v>6551</v>
      </c>
      <c r="D599" s="647" t="s">
        <v>3141</v>
      </c>
      <c r="E599" s="647" t="s">
        <v>3142</v>
      </c>
      <c r="F599" s="647">
        <v>27204</v>
      </c>
      <c r="G599" s="647" t="s">
        <v>6552</v>
      </c>
      <c r="H599" s="649"/>
      <c r="I599" s="649"/>
      <c r="J599" s="647">
        <v>1530159</v>
      </c>
      <c r="K599" s="647" t="s">
        <v>5596</v>
      </c>
      <c r="L599" s="647" t="s">
        <v>6553</v>
      </c>
      <c r="M599" s="647" t="s">
        <v>3826</v>
      </c>
      <c r="N599" s="648" t="e">
        <v>#N/A</v>
      </c>
    </row>
    <row r="600" spans="1:14" x14ac:dyDescent="0.35">
      <c r="A600" s="647">
        <v>4471</v>
      </c>
      <c r="B600" s="647" t="s">
        <v>6554</v>
      </c>
      <c r="C600" s="647" t="s">
        <v>6555</v>
      </c>
      <c r="D600" s="647" t="s">
        <v>3144</v>
      </c>
      <c r="E600" s="647" t="s">
        <v>3142</v>
      </c>
      <c r="F600" s="647">
        <v>28711</v>
      </c>
      <c r="G600" s="647" t="s">
        <v>6556</v>
      </c>
      <c r="H600" s="647" t="s">
        <v>3944</v>
      </c>
      <c r="I600" s="647" t="s">
        <v>3937</v>
      </c>
      <c r="J600" s="647">
        <v>3854441</v>
      </c>
      <c r="K600" s="647" t="s">
        <v>5098</v>
      </c>
      <c r="L600" s="647" t="s">
        <v>6557</v>
      </c>
      <c r="M600" s="647" t="s">
        <v>3826</v>
      </c>
      <c r="N600" s="648">
        <v>40188</v>
      </c>
    </row>
    <row r="601" spans="1:14" x14ac:dyDescent="0.35">
      <c r="A601" s="647">
        <v>4476</v>
      </c>
      <c r="B601" s="647" t="s">
        <v>6558</v>
      </c>
      <c r="C601" s="647" t="s">
        <v>6559</v>
      </c>
      <c r="D601" s="647" t="s">
        <v>3146</v>
      </c>
      <c r="E601" s="647" t="s">
        <v>3142</v>
      </c>
      <c r="F601" s="647">
        <v>28001</v>
      </c>
      <c r="G601" s="647" t="s">
        <v>6560</v>
      </c>
      <c r="H601" s="649"/>
      <c r="I601" s="649"/>
      <c r="J601" s="647">
        <v>1709163</v>
      </c>
      <c r="K601" s="647" t="s">
        <v>4259</v>
      </c>
      <c r="L601" s="647" t="s">
        <v>6561</v>
      </c>
      <c r="M601" s="647" t="s">
        <v>3826</v>
      </c>
      <c r="N601" s="648" t="e">
        <v>#N/A</v>
      </c>
    </row>
    <row r="602" spans="1:14" x14ac:dyDescent="0.35">
      <c r="A602" s="647">
        <v>4480</v>
      </c>
      <c r="B602" s="647" t="s">
        <v>6562</v>
      </c>
      <c r="C602" s="647" t="s">
        <v>6563</v>
      </c>
      <c r="D602" s="647" t="s">
        <v>3148</v>
      </c>
      <c r="E602" s="647" t="s">
        <v>3142</v>
      </c>
      <c r="F602" s="647">
        <v>28801</v>
      </c>
      <c r="G602" s="647" t="s">
        <v>6564</v>
      </c>
      <c r="H602" s="647" t="s">
        <v>3944</v>
      </c>
      <c r="I602" s="647" t="s">
        <v>3925</v>
      </c>
      <c r="J602" s="647">
        <v>9912759</v>
      </c>
      <c r="K602" s="647" t="s">
        <v>3978</v>
      </c>
      <c r="L602" s="647" t="s">
        <v>6565</v>
      </c>
      <c r="M602" s="647" t="s">
        <v>3826</v>
      </c>
      <c r="N602" s="648">
        <v>40360</v>
      </c>
    </row>
    <row r="603" spans="1:14" x14ac:dyDescent="0.35">
      <c r="A603" s="647">
        <v>4500</v>
      </c>
      <c r="B603" s="647" t="s">
        <v>6566</v>
      </c>
      <c r="C603" s="647" t="s">
        <v>6567</v>
      </c>
      <c r="D603" s="647" t="s">
        <v>2537</v>
      </c>
      <c r="E603" s="647" t="s">
        <v>3142</v>
      </c>
      <c r="F603" s="647">
        <v>27215</v>
      </c>
      <c r="G603" s="647" t="s">
        <v>6568</v>
      </c>
      <c r="H603" s="647" t="s">
        <v>3944</v>
      </c>
      <c r="I603" s="647" t="s">
        <v>6569</v>
      </c>
      <c r="J603" s="647">
        <v>1937040</v>
      </c>
      <c r="K603" s="647" t="s">
        <v>6570</v>
      </c>
      <c r="L603" s="647" t="s">
        <v>6571</v>
      </c>
      <c r="M603" s="647" t="s">
        <v>3826</v>
      </c>
      <c r="N603" s="648">
        <v>40269</v>
      </c>
    </row>
    <row r="604" spans="1:14" x14ac:dyDescent="0.35">
      <c r="A604" s="647">
        <v>4510</v>
      </c>
      <c r="B604" s="647" t="s">
        <v>6572</v>
      </c>
      <c r="C604" s="647" t="s">
        <v>6573</v>
      </c>
      <c r="D604" s="647" t="s">
        <v>3151</v>
      </c>
      <c r="E604" s="647" t="s">
        <v>3142</v>
      </c>
      <c r="F604" s="647">
        <v>27514</v>
      </c>
      <c r="G604" s="647" t="s">
        <v>6574</v>
      </c>
      <c r="H604" s="647" t="s">
        <v>6575</v>
      </c>
      <c r="I604" s="647" t="s">
        <v>3937</v>
      </c>
      <c r="J604" s="647">
        <v>4621052</v>
      </c>
      <c r="K604" s="647" t="s">
        <v>3824</v>
      </c>
      <c r="L604" s="647" t="s">
        <v>6576</v>
      </c>
      <c r="M604" s="647" t="s">
        <v>3826</v>
      </c>
      <c r="N604" s="648">
        <v>40346</v>
      </c>
    </row>
    <row r="605" spans="1:14" x14ac:dyDescent="0.35">
      <c r="A605" s="647">
        <v>4511</v>
      </c>
      <c r="B605" s="647" t="s">
        <v>6577</v>
      </c>
      <c r="C605" s="647" t="s">
        <v>6578</v>
      </c>
      <c r="D605" s="647" t="s">
        <v>3153</v>
      </c>
      <c r="E605" s="647" t="s">
        <v>3142</v>
      </c>
      <c r="F605" s="647" t="s">
        <v>6579</v>
      </c>
      <c r="G605" s="647" t="s">
        <v>6580</v>
      </c>
      <c r="H605" s="647" t="s">
        <v>6575</v>
      </c>
      <c r="I605" s="647" t="s">
        <v>3937</v>
      </c>
      <c r="J605" s="647">
        <v>73130794</v>
      </c>
      <c r="K605" s="647" t="s">
        <v>5421</v>
      </c>
      <c r="L605" s="647" t="s">
        <v>6581</v>
      </c>
      <c r="M605" s="647" t="s">
        <v>3836</v>
      </c>
      <c r="N605" s="648">
        <v>40482</v>
      </c>
    </row>
    <row r="606" spans="1:14" x14ac:dyDescent="0.35">
      <c r="A606" s="647">
        <v>4521</v>
      </c>
      <c r="B606" s="647" t="s">
        <v>6582</v>
      </c>
      <c r="C606" s="647" t="s">
        <v>6583</v>
      </c>
      <c r="D606" s="647" t="s">
        <v>3155</v>
      </c>
      <c r="E606" s="647" t="s">
        <v>3142</v>
      </c>
      <c r="F606" s="647">
        <v>28151</v>
      </c>
      <c r="G606" s="647" t="s">
        <v>6584</v>
      </c>
      <c r="H606" s="647" t="s">
        <v>3944</v>
      </c>
      <c r="I606" s="647" t="s">
        <v>3937</v>
      </c>
      <c r="J606" s="647">
        <v>4846591</v>
      </c>
      <c r="K606" s="647" t="s">
        <v>2895</v>
      </c>
      <c r="L606" s="647" t="s">
        <v>6585</v>
      </c>
      <c r="M606" s="647" t="s">
        <v>3826</v>
      </c>
      <c r="N606" s="648">
        <v>40179</v>
      </c>
    </row>
    <row r="607" spans="1:14" x14ac:dyDescent="0.35">
      <c r="A607" s="647">
        <v>4540</v>
      </c>
      <c r="B607" s="647" t="s">
        <v>6586</v>
      </c>
      <c r="C607" s="647" t="s">
        <v>6587</v>
      </c>
      <c r="D607" s="647" t="s">
        <v>3157</v>
      </c>
      <c r="E607" s="647" t="s">
        <v>3142</v>
      </c>
      <c r="F607" s="647" t="s">
        <v>6588</v>
      </c>
      <c r="G607" s="647" t="s">
        <v>6589</v>
      </c>
      <c r="H607" s="649"/>
      <c r="I607" s="649"/>
      <c r="J607" s="647">
        <v>1330365</v>
      </c>
      <c r="K607" s="647" t="s">
        <v>4124</v>
      </c>
      <c r="L607" s="647" t="s">
        <v>6590</v>
      </c>
      <c r="M607" s="647" t="s">
        <v>3826</v>
      </c>
      <c r="N607" s="648" t="e">
        <v>#N/A</v>
      </c>
    </row>
    <row r="608" spans="1:14" x14ac:dyDescent="0.35">
      <c r="A608" s="647">
        <v>4544</v>
      </c>
      <c r="B608" s="647" t="s">
        <v>6591</v>
      </c>
      <c r="C608" s="647" t="s">
        <v>6592</v>
      </c>
      <c r="D608" s="647" t="s">
        <v>3159</v>
      </c>
      <c r="E608" s="647" t="s">
        <v>3142</v>
      </c>
      <c r="F608" s="647">
        <v>28052</v>
      </c>
      <c r="G608" s="647" t="s">
        <v>6593</v>
      </c>
      <c r="H608" s="647" t="s">
        <v>3944</v>
      </c>
      <c r="I608" s="647" t="s">
        <v>3937</v>
      </c>
      <c r="J608" s="647">
        <v>5905733</v>
      </c>
      <c r="K608" s="647" t="s">
        <v>4214</v>
      </c>
      <c r="L608" s="647" t="s">
        <v>6594</v>
      </c>
      <c r="M608" s="647" t="s">
        <v>3826</v>
      </c>
      <c r="N608" s="648" t="e">
        <v>#N/A</v>
      </c>
    </row>
    <row r="609" spans="1:14" x14ac:dyDescent="0.35">
      <c r="A609" s="647">
        <v>4546</v>
      </c>
      <c r="B609" s="647" t="s">
        <v>6595</v>
      </c>
      <c r="C609" s="647" t="s">
        <v>6596</v>
      </c>
      <c r="D609" s="647" t="s">
        <v>3161</v>
      </c>
      <c r="E609" s="647" t="s">
        <v>3142</v>
      </c>
      <c r="F609" s="647">
        <v>27532</v>
      </c>
      <c r="G609" s="647" t="s">
        <v>6597</v>
      </c>
      <c r="H609" s="647" t="s">
        <v>3944</v>
      </c>
      <c r="I609" s="647" t="s">
        <v>3925</v>
      </c>
      <c r="J609" s="647">
        <v>2776409</v>
      </c>
      <c r="K609" s="647" t="s">
        <v>4259</v>
      </c>
      <c r="L609" s="647" t="s">
        <v>6598</v>
      </c>
      <c r="M609" s="647" t="s">
        <v>3826</v>
      </c>
      <c r="N609" s="648">
        <v>40483</v>
      </c>
    </row>
    <row r="610" spans="1:14" x14ac:dyDescent="0.35">
      <c r="A610" s="647">
        <v>4548</v>
      </c>
      <c r="B610" s="647" t="s">
        <v>6599</v>
      </c>
      <c r="C610" s="647" t="s">
        <v>6600</v>
      </c>
      <c r="D610" s="647" t="s">
        <v>3163</v>
      </c>
      <c r="E610" s="647" t="s">
        <v>3142</v>
      </c>
      <c r="F610" s="647">
        <v>27408</v>
      </c>
      <c r="G610" s="647" t="s">
        <v>6601</v>
      </c>
      <c r="H610" s="647" t="s">
        <v>3944</v>
      </c>
      <c r="I610" s="647" t="s">
        <v>3937</v>
      </c>
      <c r="J610" s="647">
        <v>12139470</v>
      </c>
      <c r="K610" s="647" t="s">
        <v>3926</v>
      </c>
      <c r="L610" s="647" t="s">
        <v>5152</v>
      </c>
      <c r="M610" s="647" t="s">
        <v>3826</v>
      </c>
      <c r="N610" s="648">
        <v>40391</v>
      </c>
    </row>
    <row r="611" spans="1:14" x14ac:dyDescent="0.35">
      <c r="A611" s="647">
        <v>4554</v>
      </c>
      <c r="B611" s="647" t="s">
        <v>6602</v>
      </c>
      <c r="C611" s="647" t="s">
        <v>6603</v>
      </c>
      <c r="D611" s="647" t="s">
        <v>3165</v>
      </c>
      <c r="E611" s="647" t="s">
        <v>3142</v>
      </c>
      <c r="F611" s="647">
        <v>27896</v>
      </c>
      <c r="G611" s="647" t="s">
        <v>6604</v>
      </c>
      <c r="H611" s="649"/>
      <c r="I611" s="649"/>
      <c r="J611" s="647">
        <v>792331</v>
      </c>
      <c r="K611" s="647" t="s">
        <v>6605</v>
      </c>
      <c r="L611" s="647" t="s">
        <v>6606</v>
      </c>
      <c r="M611" s="647" t="s">
        <v>4078</v>
      </c>
      <c r="N611" s="648" t="e">
        <v>#N/A</v>
      </c>
    </row>
    <row r="612" spans="1:14" x14ac:dyDescent="0.35">
      <c r="A612" s="647">
        <v>4560</v>
      </c>
      <c r="B612" s="647" t="s">
        <v>6607</v>
      </c>
      <c r="C612" s="647" t="s">
        <v>6608</v>
      </c>
      <c r="D612" s="647" t="s">
        <v>3167</v>
      </c>
      <c r="E612" s="647" t="s">
        <v>3142</v>
      </c>
      <c r="F612" s="647">
        <v>28739</v>
      </c>
      <c r="G612" s="647" t="s">
        <v>6609</v>
      </c>
      <c r="H612" s="647" t="s">
        <v>3944</v>
      </c>
      <c r="I612" s="647" t="s">
        <v>3925</v>
      </c>
      <c r="J612" s="647">
        <v>1419387</v>
      </c>
      <c r="K612" s="647" t="s">
        <v>5381</v>
      </c>
      <c r="L612" s="647" t="s">
        <v>2772</v>
      </c>
      <c r="M612" s="647" t="s">
        <v>6610</v>
      </c>
      <c r="N612" s="648">
        <v>40452</v>
      </c>
    </row>
    <row r="613" spans="1:14" x14ac:dyDescent="0.35">
      <c r="A613" s="647">
        <v>4561</v>
      </c>
      <c r="B613" s="647" t="s">
        <v>6611</v>
      </c>
      <c r="C613" s="647" t="s">
        <v>6612</v>
      </c>
      <c r="D613" s="647" t="s">
        <v>2615</v>
      </c>
      <c r="E613" s="647" t="s">
        <v>3142</v>
      </c>
      <c r="F613" s="647">
        <v>27536</v>
      </c>
      <c r="G613" s="647" t="s">
        <v>6613</v>
      </c>
      <c r="H613" s="647" t="s">
        <v>3944</v>
      </c>
      <c r="I613" s="647" t="s">
        <v>3823</v>
      </c>
      <c r="J613" s="647">
        <v>1321804</v>
      </c>
      <c r="K613" s="647" t="s">
        <v>6614</v>
      </c>
      <c r="L613" s="647" t="s">
        <v>6615</v>
      </c>
      <c r="M613" s="647" t="s">
        <v>3826</v>
      </c>
      <c r="N613" s="648" t="e">
        <v>#N/A</v>
      </c>
    </row>
    <row r="614" spans="1:14" x14ac:dyDescent="0.35">
      <c r="A614" s="647">
        <v>4563</v>
      </c>
      <c r="B614" s="647" t="s">
        <v>6616</v>
      </c>
      <c r="C614" s="647" t="s">
        <v>6617</v>
      </c>
      <c r="D614" s="647" t="s">
        <v>3170</v>
      </c>
      <c r="E614" s="647" t="s">
        <v>3142</v>
      </c>
      <c r="F614" s="647">
        <v>27262</v>
      </c>
      <c r="G614" s="647" t="s">
        <v>6618</v>
      </c>
      <c r="H614" s="647" t="s">
        <v>6575</v>
      </c>
      <c r="I614" s="647" t="s">
        <v>3937</v>
      </c>
      <c r="J614" s="647">
        <v>6353969</v>
      </c>
      <c r="K614" s="647" t="s">
        <v>5694</v>
      </c>
      <c r="L614" s="647" t="s">
        <v>2821</v>
      </c>
      <c r="M614" s="647" t="s">
        <v>3826</v>
      </c>
      <c r="N614" s="648">
        <v>40178</v>
      </c>
    </row>
    <row r="615" spans="1:14" x14ac:dyDescent="0.35">
      <c r="A615" s="647">
        <v>4574</v>
      </c>
      <c r="B615" s="647" t="s">
        <v>6619</v>
      </c>
      <c r="C615" s="647" t="s">
        <v>6620</v>
      </c>
      <c r="D615" s="647" t="s">
        <v>3172</v>
      </c>
      <c r="E615" s="647" t="s">
        <v>3142</v>
      </c>
      <c r="F615" s="647" t="s">
        <v>6621</v>
      </c>
      <c r="G615" s="647" t="s">
        <v>6622</v>
      </c>
      <c r="H615" s="647" t="s">
        <v>3944</v>
      </c>
      <c r="I615" s="647" t="s">
        <v>3937</v>
      </c>
      <c r="J615" s="647">
        <v>6480673</v>
      </c>
      <c r="K615" s="647" t="s">
        <v>5694</v>
      </c>
      <c r="L615" s="647" t="s">
        <v>6606</v>
      </c>
      <c r="M615" s="647" t="s">
        <v>3826</v>
      </c>
      <c r="N615" s="648">
        <v>40264</v>
      </c>
    </row>
    <row r="616" spans="1:14" x14ac:dyDescent="0.35">
      <c r="A616" s="647">
        <v>4576</v>
      </c>
      <c r="B616" s="647" t="s">
        <v>6623</v>
      </c>
      <c r="C616" s="647" t="s">
        <v>6624</v>
      </c>
      <c r="D616" s="647" t="s">
        <v>3174</v>
      </c>
      <c r="E616" s="647" t="s">
        <v>3142</v>
      </c>
      <c r="F616" s="647">
        <v>28602</v>
      </c>
      <c r="G616" s="647" t="s">
        <v>6625</v>
      </c>
      <c r="H616" s="647" t="s">
        <v>3944</v>
      </c>
      <c r="I616" s="647" t="s">
        <v>3937</v>
      </c>
      <c r="J616" s="647">
        <v>6354316</v>
      </c>
      <c r="K616" s="647" t="s">
        <v>4176</v>
      </c>
      <c r="L616" s="647" t="s">
        <v>6626</v>
      </c>
      <c r="M616" s="647" t="s">
        <v>3826</v>
      </c>
      <c r="N616" s="648">
        <v>40179</v>
      </c>
    </row>
    <row r="617" spans="1:14" x14ac:dyDescent="0.35">
      <c r="A617" s="647">
        <v>4578</v>
      </c>
      <c r="B617" s="647" t="s">
        <v>6627</v>
      </c>
      <c r="C617" s="647" t="s">
        <v>6628</v>
      </c>
      <c r="D617" s="647" t="s">
        <v>3176</v>
      </c>
      <c r="E617" s="647" t="s">
        <v>3142</v>
      </c>
      <c r="F617" s="647" t="s">
        <v>6629</v>
      </c>
      <c r="G617" s="647" t="s">
        <v>6630</v>
      </c>
      <c r="H617" s="649"/>
      <c r="I617" s="649"/>
      <c r="J617" s="647">
        <v>1041365</v>
      </c>
      <c r="K617" s="647" t="s">
        <v>5407</v>
      </c>
      <c r="L617" s="647" t="s">
        <v>6631</v>
      </c>
      <c r="M617" s="647" t="s">
        <v>3826</v>
      </c>
      <c r="N617" s="648" t="e">
        <v>#N/A</v>
      </c>
    </row>
    <row r="618" spans="1:14" x14ac:dyDescent="0.35">
      <c r="A618" s="647">
        <v>4586</v>
      </c>
      <c r="B618" s="647" t="s">
        <v>6632</v>
      </c>
      <c r="C618" s="647" t="s">
        <v>6633</v>
      </c>
      <c r="D618" s="647" t="s">
        <v>2611</v>
      </c>
      <c r="E618" s="647" t="s">
        <v>3142</v>
      </c>
      <c r="F618" s="647" t="s">
        <v>6634</v>
      </c>
      <c r="G618" s="647" t="s">
        <v>6635</v>
      </c>
      <c r="H618" s="647" t="s">
        <v>3944</v>
      </c>
      <c r="I618" s="647" t="s">
        <v>3937</v>
      </c>
      <c r="J618" s="647">
        <v>2029150</v>
      </c>
      <c r="K618" s="647" t="s">
        <v>6636</v>
      </c>
      <c r="L618" s="647" t="s">
        <v>6541</v>
      </c>
      <c r="M618" s="647" t="s">
        <v>4078</v>
      </c>
      <c r="N618" s="648" t="e">
        <v>#N/A</v>
      </c>
    </row>
    <row r="619" spans="1:14" x14ac:dyDescent="0.35">
      <c r="A619" s="647">
        <v>4598</v>
      </c>
      <c r="B619" s="647" t="s">
        <v>6637</v>
      </c>
      <c r="C619" s="647" t="s">
        <v>6638</v>
      </c>
      <c r="D619" s="647" t="s">
        <v>3179</v>
      </c>
      <c r="E619" s="647" t="s">
        <v>3142</v>
      </c>
      <c r="F619" s="647" t="s">
        <v>6639</v>
      </c>
      <c r="G619" s="647" t="s">
        <v>6640</v>
      </c>
      <c r="H619" s="647" t="s">
        <v>6575</v>
      </c>
      <c r="I619" s="647" t="s">
        <v>3937</v>
      </c>
      <c r="J619" s="647">
        <v>60215601</v>
      </c>
      <c r="K619" s="647" t="s">
        <v>4001</v>
      </c>
      <c r="L619" s="647" t="s">
        <v>6641</v>
      </c>
      <c r="M619" s="647" t="s">
        <v>3826</v>
      </c>
      <c r="N619" s="648">
        <v>40269</v>
      </c>
    </row>
    <row r="620" spans="1:14" x14ac:dyDescent="0.35">
      <c r="A620" s="647">
        <v>4600</v>
      </c>
      <c r="B620" s="647" t="s">
        <v>6642</v>
      </c>
      <c r="C620" s="647" t="s">
        <v>6643</v>
      </c>
      <c r="D620" s="647" t="s">
        <v>3181</v>
      </c>
      <c r="E620" s="647" t="s">
        <v>3142</v>
      </c>
      <c r="F620" s="647">
        <v>28560</v>
      </c>
      <c r="G620" s="647" t="s">
        <v>6644</v>
      </c>
      <c r="H620" s="647" t="s">
        <v>3944</v>
      </c>
      <c r="I620" s="647" t="s">
        <v>3937</v>
      </c>
      <c r="J620" s="647">
        <v>1690810</v>
      </c>
      <c r="K620" s="647" t="s">
        <v>5160</v>
      </c>
      <c r="L620" s="647" t="s">
        <v>6645</v>
      </c>
      <c r="M620" s="647" t="s">
        <v>3826</v>
      </c>
      <c r="N620" s="648">
        <v>40360</v>
      </c>
    </row>
    <row r="621" spans="1:14" x14ac:dyDescent="0.35">
      <c r="A621" s="647">
        <v>4602</v>
      </c>
      <c r="B621" s="647" t="s">
        <v>6646</v>
      </c>
      <c r="C621" s="647" t="s">
        <v>6647</v>
      </c>
      <c r="D621" s="647" t="s">
        <v>3179</v>
      </c>
      <c r="E621" s="647" t="s">
        <v>3142</v>
      </c>
      <c r="F621" s="647">
        <v>27611</v>
      </c>
      <c r="G621" s="647" t="s">
        <v>6648</v>
      </c>
      <c r="H621" s="647" t="s">
        <v>3944</v>
      </c>
      <c r="I621" s="647" t="s">
        <v>3823</v>
      </c>
      <c r="J621" s="647">
        <v>850153</v>
      </c>
      <c r="K621" s="647" t="s">
        <v>5205</v>
      </c>
      <c r="L621" s="647" t="s">
        <v>6649</v>
      </c>
      <c r="M621" s="647" t="s">
        <v>3973</v>
      </c>
      <c r="N621" s="648" t="e">
        <v>#N/A</v>
      </c>
    </row>
    <row r="622" spans="1:14" x14ac:dyDescent="0.35">
      <c r="A622" s="647">
        <v>4610</v>
      </c>
      <c r="B622" s="647" t="s">
        <v>6650</v>
      </c>
      <c r="C622" s="647" t="s">
        <v>6651</v>
      </c>
      <c r="D622" s="647" t="s">
        <v>6652</v>
      </c>
      <c r="E622" s="647" t="s">
        <v>3142</v>
      </c>
      <c r="F622" s="647">
        <v>27320</v>
      </c>
      <c r="G622" s="647" t="s">
        <v>6653</v>
      </c>
      <c r="H622" s="647" t="s">
        <v>3944</v>
      </c>
      <c r="I622" s="647" t="s">
        <v>3937</v>
      </c>
      <c r="J622" s="647"/>
      <c r="K622" s="647" t="s">
        <v>4280</v>
      </c>
      <c r="L622" s="647" t="s">
        <v>6654</v>
      </c>
      <c r="M622" s="647" t="s">
        <v>4078</v>
      </c>
      <c r="N622" s="648">
        <v>40391</v>
      </c>
    </row>
    <row r="623" spans="1:14" x14ac:dyDescent="0.35">
      <c r="A623" s="647">
        <v>4614</v>
      </c>
      <c r="B623" s="647" t="s">
        <v>6655</v>
      </c>
      <c r="C623" s="647" t="s">
        <v>6656</v>
      </c>
      <c r="D623" s="647" t="s">
        <v>3184</v>
      </c>
      <c r="E623" s="647" t="s">
        <v>3142</v>
      </c>
      <c r="F623" s="647">
        <v>27803</v>
      </c>
      <c r="G623" s="647" t="s">
        <v>6657</v>
      </c>
      <c r="H623" s="647" t="s">
        <v>3944</v>
      </c>
      <c r="I623" s="647" t="s">
        <v>3937</v>
      </c>
      <c r="J623" s="647">
        <v>3750783</v>
      </c>
      <c r="K623" s="647" t="s">
        <v>4023</v>
      </c>
      <c r="L623" s="647" t="s">
        <v>5642</v>
      </c>
      <c r="M623" s="647" t="s">
        <v>3826</v>
      </c>
      <c r="N623" s="648">
        <v>40299</v>
      </c>
    </row>
    <row r="624" spans="1:14" x14ac:dyDescent="0.35">
      <c r="A624" s="647">
        <v>4618</v>
      </c>
      <c r="B624" s="647" t="s">
        <v>6658</v>
      </c>
      <c r="C624" s="647" t="s">
        <v>6659</v>
      </c>
      <c r="D624" s="647" t="s">
        <v>2702</v>
      </c>
      <c r="E624" s="647" t="s">
        <v>3142</v>
      </c>
      <c r="F624" s="647">
        <v>28147</v>
      </c>
      <c r="G624" s="647" t="s">
        <v>6660</v>
      </c>
      <c r="H624" s="647" t="s">
        <v>3944</v>
      </c>
      <c r="I624" s="647" t="s">
        <v>3937</v>
      </c>
      <c r="J624" s="647">
        <v>5904151</v>
      </c>
      <c r="K624" s="647" t="s">
        <v>4429</v>
      </c>
      <c r="L624" s="647" t="s">
        <v>6047</v>
      </c>
      <c r="M624" s="647" t="s">
        <v>3826</v>
      </c>
      <c r="N624" s="648">
        <v>40421</v>
      </c>
    </row>
    <row r="625" spans="1:14" x14ac:dyDescent="0.35">
      <c r="A625" s="647">
        <v>4619</v>
      </c>
      <c r="B625" s="647" t="s">
        <v>6661</v>
      </c>
      <c r="C625" s="647" t="s">
        <v>6662</v>
      </c>
      <c r="D625" s="647" t="s">
        <v>3187</v>
      </c>
      <c r="E625" s="647" t="s">
        <v>3142</v>
      </c>
      <c r="F625" s="647">
        <v>28677</v>
      </c>
      <c r="G625" s="647" t="s">
        <v>6663</v>
      </c>
      <c r="H625" s="647" t="s">
        <v>3944</v>
      </c>
      <c r="I625" s="647" t="s">
        <v>3925</v>
      </c>
      <c r="J625" s="647">
        <v>2599901</v>
      </c>
      <c r="K625" s="647" t="s">
        <v>6664</v>
      </c>
      <c r="L625" s="647" t="s">
        <v>5707</v>
      </c>
      <c r="M625" s="647" t="s">
        <v>3826</v>
      </c>
      <c r="N625" s="648">
        <v>40360</v>
      </c>
    </row>
    <row r="626" spans="1:14" x14ac:dyDescent="0.35">
      <c r="A626" s="647">
        <v>4620</v>
      </c>
      <c r="B626" s="647" t="s">
        <v>6665</v>
      </c>
      <c r="C626" s="647" t="s">
        <v>6666</v>
      </c>
      <c r="D626" s="647" t="s">
        <v>2309</v>
      </c>
      <c r="E626" s="647" t="s">
        <v>3142</v>
      </c>
      <c r="F626" s="647" t="s">
        <v>6667</v>
      </c>
      <c r="G626" s="647" t="s">
        <v>6668</v>
      </c>
      <c r="H626" s="647" t="s">
        <v>3944</v>
      </c>
      <c r="I626" s="647" t="s">
        <v>3925</v>
      </c>
      <c r="J626" s="647">
        <v>1797460</v>
      </c>
      <c r="K626" s="647" t="s">
        <v>6669</v>
      </c>
      <c r="L626" s="647" t="s">
        <v>6670</v>
      </c>
      <c r="M626" s="647" t="s">
        <v>3826</v>
      </c>
      <c r="N626" s="648">
        <v>40299</v>
      </c>
    </row>
    <row r="627" spans="1:14" x14ac:dyDescent="0.35">
      <c r="A627" s="647">
        <v>4622</v>
      </c>
      <c r="B627" s="647" t="s">
        <v>6671</v>
      </c>
      <c r="C627" s="647" t="s">
        <v>6672</v>
      </c>
      <c r="D627" s="647" t="s">
        <v>2224</v>
      </c>
      <c r="E627" s="647" t="s">
        <v>3142</v>
      </c>
      <c r="F627" s="647">
        <v>28403</v>
      </c>
      <c r="G627" s="647" t="s">
        <v>6673</v>
      </c>
      <c r="H627" s="647" t="s">
        <v>3944</v>
      </c>
      <c r="I627" s="647" t="s">
        <v>3925</v>
      </c>
      <c r="J627" s="647">
        <v>2678573</v>
      </c>
      <c r="K627" s="647" t="s">
        <v>4369</v>
      </c>
      <c r="L627" s="647" t="s">
        <v>5152</v>
      </c>
      <c r="M627" s="647" t="s">
        <v>3826</v>
      </c>
      <c r="N627" s="648">
        <v>40391</v>
      </c>
    </row>
    <row r="628" spans="1:14" x14ac:dyDescent="0.35">
      <c r="A628" s="647">
        <v>4626</v>
      </c>
      <c r="B628" s="647" t="s">
        <v>6674</v>
      </c>
      <c r="C628" s="647" t="s">
        <v>6675</v>
      </c>
      <c r="D628" s="647" t="s">
        <v>3191</v>
      </c>
      <c r="E628" s="647" t="s">
        <v>3142</v>
      </c>
      <c r="F628" s="647">
        <v>27101</v>
      </c>
      <c r="G628" s="647" t="s">
        <v>6676</v>
      </c>
      <c r="H628" s="647" t="s">
        <v>3944</v>
      </c>
      <c r="I628" s="647" t="s">
        <v>3925</v>
      </c>
      <c r="J628" s="647">
        <v>23801597</v>
      </c>
      <c r="K628" s="647" t="s">
        <v>6677</v>
      </c>
      <c r="L628" s="647" t="s">
        <v>6678</v>
      </c>
      <c r="M628" s="647" t="s">
        <v>3826</v>
      </c>
      <c r="N628" s="648">
        <v>40360</v>
      </c>
    </row>
    <row r="629" spans="1:14" x14ac:dyDescent="0.35">
      <c r="A629" s="647">
        <v>4633</v>
      </c>
      <c r="B629" s="647" t="s">
        <v>6679</v>
      </c>
      <c r="C629" s="647" t="s">
        <v>6680</v>
      </c>
      <c r="D629" s="647" t="s">
        <v>3193</v>
      </c>
      <c r="E629" s="647" t="s">
        <v>3142</v>
      </c>
      <c r="F629" s="647" t="s">
        <v>6681</v>
      </c>
      <c r="G629" s="647" t="s">
        <v>6682</v>
      </c>
      <c r="H629" s="647" t="s">
        <v>3944</v>
      </c>
      <c r="I629" s="647" t="s">
        <v>3925</v>
      </c>
      <c r="J629" s="647">
        <v>180041</v>
      </c>
      <c r="K629" s="647" t="s">
        <v>6683</v>
      </c>
      <c r="L629" s="647" t="s">
        <v>6684</v>
      </c>
      <c r="M629" s="647" t="s">
        <v>3826</v>
      </c>
      <c r="N629" s="648">
        <v>40422</v>
      </c>
    </row>
    <row r="630" spans="1:14" x14ac:dyDescent="0.35">
      <c r="A630" s="647">
        <v>4642</v>
      </c>
      <c r="B630" s="647" t="s">
        <v>6685</v>
      </c>
      <c r="C630" s="647" t="s">
        <v>6686</v>
      </c>
      <c r="D630" s="647" t="s">
        <v>3195</v>
      </c>
      <c r="E630" s="647" t="s">
        <v>3196</v>
      </c>
      <c r="F630" s="647">
        <v>58502</v>
      </c>
      <c r="G630" s="647" t="s">
        <v>6687</v>
      </c>
      <c r="H630" s="647" t="s">
        <v>3994</v>
      </c>
      <c r="I630" s="647" t="s">
        <v>4175</v>
      </c>
      <c r="J630" s="647">
        <v>3972708</v>
      </c>
      <c r="K630" s="647" t="s">
        <v>5832</v>
      </c>
      <c r="L630" s="647" t="s">
        <v>6688</v>
      </c>
      <c r="M630" s="647" t="s">
        <v>3826</v>
      </c>
      <c r="N630" s="648">
        <v>40163</v>
      </c>
    </row>
    <row r="631" spans="1:14" x14ac:dyDescent="0.35">
      <c r="A631" s="647">
        <v>4644</v>
      </c>
      <c r="B631" s="647" t="s">
        <v>6689</v>
      </c>
      <c r="C631" s="647" t="s">
        <v>6690</v>
      </c>
      <c r="D631" s="647" t="s">
        <v>3198</v>
      </c>
      <c r="E631" s="647" t="s">
        <v>3142</v>
      </c>
      <c r="F631" s="647">
        <v>28646</v>
      </c>
      <c r="G631" s="647" t="s">
        <v>6691</v>
      </c>
      <c r="H631" s="647" t="s">
        <v>3944</v>
      </c>
      <c r="I631" s="647" t="s">
        <v>3937</v>
      </c>
      <c r="J631" s="647">
        <v>609114</v>
      </c>
      <c r="K631" s="647" t="s">
        <v>4030</v>
      </c>
      <c r="L631" s="649"/>
      <c r="M631" s="647" t="s">
        <v>4078</v>
      </c>
      <c r="N631" s="648">
        <v>40483</v>
      </c>
    </row>
    <row r="632" spans="1:14" x14ac:dyDescent="0.35">
      <c r="A632" s="647">
        <v>4646</v>
      </c>
      <c r="B632" s="647" t="s">
        <v>6692</v>
      </c>
      <c r="C632" s="647" t="s">
        <v>6693</v>
      </c>
      <c r="D632" s="647" t="s">
        <v>3200</v>
      </c>
      <c r="E632" s="647" t="s">
        <v>3196</v>
      </c>
      <c r="F632" s="647">
        <v>58103</v>
      </c>
      <c r="G632" s="647" t="s">
        <v>6694</v>
      </c>
      <c r="H632" s="647" t="s">
        <v>3994</v>
      </c>
      <c r="I632" s="647" t="s">
        <v>5582</v>
      </c>
      <c r="J632" s="647">
        <v>10233736</v>
      </c>
      <c r="K632" s="647" t="s">
        <v>3978</v>
      </c>
      <c r="L632" s="647" t="s">
        <v>6695</v>
      </c>
      <c r="M632" s="647" t="s">
        <v>3826</v>
      </c>
      <c r="N632" s="648" t="e">
        <v>#N/A</v>
      </c>
    </row>
    <row r="633" spans="1:14" x14ac:dyDescent="0.35">
      <c r="A633" s="647">
        <v>4650</v>
      </c>
      <c r="B633" s="647" t="s">
        <v>6696</v>
      </c>
      <c r="C633" s="647" t="s">
        <v>6697</v>
      </c>
      <c r="D633" s="647" t="s">
        <v>3200</v>
      </c>
      <c r="E633" s="647" t="s">
        <v>3196</v>
      </c>
      <c r="F633" s="647" t="s">
        <v>6698</v>
      </c>
      <c r="G633" s="647" t="s">
        <v>6699</v>
      </c>
      <c r="H633" s="649"/>
      <c r="I633" s="649"/>
      <c r="J633" s="647">
        <v>3007</v>
      </c>
      <c r="K633" s="647" t="s">
        <v>4782</v>
      </c>
      <c r="L633" s="647" t="s">
        <v>6700</v>
      </c>
      <c r="M633" s="647" t="s">
        <v>3826</v>
      </c>
      <c r="N633" s="648" t="e">
        <v>#N/A</v>
      </c>
    </row>
    <row r="634" spans="1:14" x14ac:dyDescent="0.35">
      <c r="A634" s="647">
        <v>4656</v>
      </c>
      <c r="B634" s="647" t="s">
        <v>6701</v>
      </c>
      <c r="C634" s="647" t="s">
        <v>6702</v>
      </c>
      <c r="D634" s="647" t="s">
        <v>3203</v>
      </c>
      <c r="E634" s="647" t="s">
        <v>3196</v>
      </c>
      <c r="F634" s="647">
        <v>58208</v>
      </c>
      <c r="G634" s="647" t="s">
        <v>6703</v>
      </c>
      <c r="H634" s="649"/>
      <c r="I634" s="649"/>
      <c r="J634" s="647">
        <v>2462413</v>
      </c>
      <c r="K634" s="647" t="s">
        <v>6704</v>
      </c>
      <c r="L634" s="647" t="s">
        <v>5642</v>
      </c>
      <c r="M634" s="647" t="s">
        <v>3826</v>
      </c>
      <c r="N634" s="648" t="e">
        <v>#N/A</v>
      </c>
    </row>
    <row r="635" spans="1:14" x14ac:dyDescent="0.35">
      <c r="A635" s="647">
        <v>4659</v>
      </c>
      <c r="B635" s="647" t="s">
        <v>6705</v>
      </c>
      <c r="C635" s="647" t="s">
        <v>6706</v>
      </c>
      <c r="D635" s="647" t="s">
        <v>3091</v>
      </c>
      <c r="E635" s="647" t="s">
        <v>3196</v>
      </c>
      <c r="F635" s="647" t="s">
        <v>6707</v>
      </c>
      <c r="G635" s="647" t="s">
        <v>6708</v>
      </c>
      <c r="H635" s="649"/>
      <c r="I635" s="649"/>
      <c r="J635" s="647">
        <v>830495</v>
      </c>
      <c r="K635" s="647" t="s">
        <v>3860</v>
      </c>
      <c r="L635" s="647" t="s">
        <v>5174</v>
      </c>
      <c r="M635" s="647" t="s">
        <v>3826</v>
      </c>
      <c r="N635" s="648" t="e">
        <v>#N/A</v>
      </c>
    </row>
    <row r="636" spans="1:14" x14ac:dyDescent="0.35">
      <c r="A636" s="647">
        <v>4660</v>
      </c>
      <c r="B636" s="647" t="s">
        <v>6709</v>
      </c>
      <c r="C636" s="647" t="s">
        <v>6710</v>
      </c>
      <c r="D636" s="647" t="s">
        <v>3206</v>
      </c>
      <c r="E636" s="647" t="s">
        <v>3196</v>
      </c>
      <c r="F636" s="647">
        <v>58702</v>
      </c>
      <c r="G636" s="647" t="s">
        <v>6711</v>
      </c>
      <c r="H636" s="647" t="s">
        <v>3994</v>
      </c>
      <c r="I636" s="647" t="s">
        <v>3937</v>
      </c>
      <c r="J636" s="647">
        <v>1927946</v>
      </c>
      <c r="K636" s="647" t="s">
        <v>5098</v>
      </c>
      <c r="L636" s="647" t="s">
        <v>6712</v>
      </c>
      <c r="M636" s="647" t="s">
        <v>3826</v>
      </c>
      <c r="N636" s="648">
        <v>40179</v>
      </c>
    </row>
    <row r="637" spans="1:14" x14ac:dyDescent="0.35">
      <c r="A637" s="647">
        <v>4679</v>
      </c>
      <c r="B637" s="647" t="s">
        <v>6713</v>
      </c>
      <c r="C637" s="647" t="s">
        <v>6714</v>
      </c>
      <c r="D637" s="647" t="s">
        <v>3208</v>
      </c>
      <c r="E637" s="647" t="s">
        <v>3209</v>
      </c>
      <c r="F637" s="647">
        <v>44308</v>
      </c>
      <c r="G637" s="647" t="s">
        <v>6715</v>
      </c>
      <c r="H637" s="647" t="s">
        <v>4688</v>
      </c>
      <c r="I637" s="647" t="s">
        <v>4264</v>
      </c>
      <c r="J637" s="647">
        <v>13326713</v>
      </c>
      <c r="K637" s="647" t="s">
        <v>4001</v>
      </c>
      <c r="L637" s="647" t="s">
        <v>6716</v>
      </c>
      <c r="M637" s="647" t="s">
        <v>3826</v>
      </c>
      <c r="N637" s="648">
        <v>40422</v>
      </c>
    </row>
    <row r="638" spans="1:14" x14ac:dyDescent="0.35">
      <c r="A638" s="647">
        <v>4723</v>
      </c>
      <c r="B638" s="647" t="s">
        <v>6717</v>
      </c>
      <c r="C638" s="647" t="s">
        <v>6718</v>
      </c>
      <c r="D638" s="647" t="s">
        <v>3211</v>
      </c>
      <c r="E638" s="647" t="s">
        <v>3209</v>
      </c>
      <c r="F638" s="647">
        <v>45690</v>
      </c>
      <c r="G638" s="647" t="s">
        <v>6719</v>
      </c>
      <c r="H638" s="647" t="s">
        <v>4688</v>
      </c>
      <c r="I638" s="647" t="s">
        <v>4279</v>
      </c>
      <c r="J638" s="647">
        <v>583349</v>
      </c>
      <c r="K638" s="647" t="s">
        <v>4259</v>
      </c>
      <c r="L638" s="647" t="s">
        <v>3005</v>
      </c>
      <c r="M638" s="647" t="s">
        <v>3826</v>
      </c>
      <c r="N638" s="648">
        <v>40474</v>
      </c>
    </row>
    <row r="639" spans="1:14" x14ac:dyDescent="0.35">
      <c r="A639" s="647">
        <v>4735</v>
      </c>
      <c r="B639" s="647" t="s">
        <v>6720</v>
      </c>
      <c r="C639" s="647" t="s">
        <v>6721</v>
      </c>
      <c r="D639" s="647" t="s">
        <v>2925</v>
      </c>
      <c r="E639" s="647" t="s">
        <v>3209</v>
      </c>
      <c r="F639" s="647" t="s">
        <v>6722</v>
      </c>
      <c r="G639" s="647" t="s">
        <v>6723</v>
      </c>
      <c r="H639" s="647" t="s">
        <v>4688</v>
      </c>
      <c r="I639" s="647" t="s">
        <v>4264</v>
      </c>
      <c r="J639" s="647">
        <v>963304</v>
      </c>
      <c r="K639" s="647" t="s">
        <v>4935</v>
      </c>
      <c r="L639" s="647" t="s">
        <v>6724</v>
      </c>
      <c r="M639" s="647" t="s">
        <v>3826</v>
      </c>
      <c r="N639" s="648">
        <v>40238</v>
      </c>
    </row>
    <row r="640" spans="1:14" x14ac:dyDescent="0.35">
      <c r="A640" s="647">
        <v>4739</v>
      </c>
      <c r="B640" s="647" t="s">
        <v>6725</v>
      </c>
      <c r="C640" s="647" t="s">
        <v>6726</v>
      </c>
      <c r="D640" s="647" t="s">
        <v>2605</v>
      </c>
      <c r="E640" s="647" t="s">
        <v>3209</v>
      </c>
      <c r="F640" s="647" t="s">
        <v>6727</v>
      </c>
      <c r="G640" s="647" t="s">
        <v>6728</v>
      </c>
      <c r="H640" s="649"/>
      <c r="I640" s="649"/>
      <c r="J640" s="647">
        <v>921030</v>
      </c>
      <c r="K640" s="647" t="s">
        <v>3824</v>
      </c>
      <c r="L640" s="647" t="s">
        <v>6729</v>
      </c>
      <c r="M640" s="647" t="s">
        <v>3826</v>
      </c>
      <c r="N640" s="648" t="e">
        <v>#N/A</v>
      </c>
    </row>
    <row r="641" spans="1:14" x14ac:dyDescent="0.35">
      <c r="A641" s="647">
        <v>4743</v>
      </c>
      <c r="B641" s="647" t="s">
        <v>6730</v>
      </c>
      <c r="C641" s="647" t="s">
        <v>6731</v>
      </c>
      <c r="D641" s="647" t="s">
        <v>3215</v>
      </c>
      <c r="E641" s="647" t="s">
        <v>3209</v>
      </c>
      <c r="F641" s="647" t="s">
        <v>6732</v>
      </c>
      <c r="G641" s="647" t="s">
        <v>6733</v>
      </c>
      <c r="H641" s="649"/>
      <c r="I641" s="649"/>
      <c r="J641" s="647">
        <v>823898</v>
      </c>
      <c r="K641" s="647" t="s">
        <v>6734</v>
      </c>
      <c r="L641" s="647" t="s">
        <v>6735</v>
      </c>
      <c r="M641" s="647" t="s">
        <v>3826</v>
      </c>
      <c r="N641" s="648" t="e">
        <v>#N/A</v>
      </c>
    </row>
    <row r="642" spans="1:14" x14ac:dyDescent="0.35">
      <c r="A642" s="647">
        <v>4761</v>
      </c>
      <c r="B642" s="647" t="s">
        <v>6736</v>
      </c>
      <c r="C642" s="647" t="s">
        <v>6737</v>
      </c>
      <c r="D642" s="647" t="s">
        <v>3217</v>
      </c>
      <c r="E642" s="647" t="s">
        <v>3209</v>
      </c>
      <c r="F642" s="647" t="s">
        <v>6738</v>
      </c>
      <c r="G642" s="647" t="s">
        <v>6739</v>
      </c>
      <c r="H642" s="649"/>
      <c r="I642" s="649"/>
      <c r="J642" s="647">
        <v>467481</v>
      </c>
      <c r="K642" s="647" t="s">
        <v>4897</v>
      </c>
      <c r="L642" s="647" t="s">
        <v>6740</v>
      </c>
      <c r="M642" s="647" t="s">
        <v>3826</v>
      </c>
      <c r="N642" s="648" t="e">
        <v>#N/A</v>
      </c>
    </row>
    <row r="643" spans="1:14" x14ac:dyDescent="0.35">
      <c r="A643" s="647">
        <v>4765</v>
      </c>
      <c r="B643" s="647" t="s">
        <v>6741</v>
      </c>
      <c r="C643" s="647" t="s">
        <v>6742</v>
      </c>
      <c r="D643" s="647" t="s">
        <v>2694</v>
      </c>
      <c r="E643" s="647" t="s">
        <v>3209</v>
      </c>
      <c r="F643" s="647">
        <v>43725</v>
      </c>
      <c r="G643" s="647" t="s">
        <v>6743</v>
      </c>
      <c r="H643" s="647" t="s">
        <v>4688</v>
      </c>
      <c r="I643" s="647" t="s">
        <v>4279</v>
      </c>
      <c r="J643" s="647">
        <v>409343</v>
      </c>
      <c r="K643" s="647" t="s">
        <v>3835</v>
      </c>
      <c r="L643" s="647" t="s">
        <v>6744</v>
      </c>
      <c r="M643" s="647" t="s">
        <v>3826</v>
      </c>
      <c r="N643" s="648">
        <v>40280</v>
      </c>
    </row>
    <row r="644" spans="1:14" x14ac:dyDescent="0.35">
      <c r="A644" s="647">
        <v>4773</v>
      </c>
      <c r="B644" s="647" t="s">
        <v>6745</v>
      </c>
      <c r="C644" s="647" t="s">
        <v>6746</v>
      </c>
      <c r="D644" s="647" t="s">
        <v>2346</v>
      </c>
      <c r="E644" s="647" t="s">
        <v>3209</v>
      </c>
      <c r="F644" s="647">
        <v>44709</v>
      </c>
      <c r="G644" s="647" t="s">
        <v>6747</v>
      </c>
      <c r="H644" s="647" t="s">
        <v>4688</v>
      </c>
      <c r="I644" s="647" t="s">
        <v>4264</v>
      </c>
      <c r="J644" s="647">
        <v>12951955</v>
      </c>
      <c r="K644" s="647" t="s">
        <v>4030</v>
      </c>
      <c r="L644" s="647" t="s">
        <v>6748</v>
      </c>
      <c r="M644" s="647" t="s">
        <v>3826</v>
      </c>
      <c r="N644" s="648">
        <v>40209</v>
      </c>
    </row>
    <row r="645" spans="1:14" x14ac:dyDescent="0.35">
      <c r="A645" s="647">
        <v>4795</v>
      </c>
      <c r="B645" s="647" t="s">
        <v>6749</v>
      </c>
      <c r="C645" s="647" t="s">
        <v>6750</v>
      </c>
      <c r="D645" s="647" t="s">
        <v>3221</v>
      </c>
      <c r="E645" s="647" t="s">
        <v>3209</v>
      </c>
      <c r="F645" s="647" t="s">
        <v>6751</v>
      </c>
      <c r="G645" s="647" t="s">
        <v>6752</v>
      </c>
      <c r="H645" s="649"/>
      <c r="I645" s="649"/>
      <c r="J645" s="647">
        <v>1832801</v>
      </c>
      <c r="K645" s="647" t="s">
        <v>6753</v>
      </c>
      <c r="L645" s="647" t="s">
        <v>6754</v>
      </c>
      <c r="M645" s="647" t="s">
        <v>3826</v>
      </c>
      <c r="N645" s="648" t="e">
        <v>#N/A</v>
      </c>
    </row>
    <row r="646" spans="1:14" x14ac:dyDescent="0.35">
      <c r="A646" s="647">
        <v>4799</v>
      </c>
      <c r="B646" s="647" t="s">
        <v>6755</v>
      </c>
      <c r="C646" s="647" t="s">
        <v>6756</v>
      </c>
      <c r="D646" s="647" t="s">
        <v>2872</v>
      </c>
      <c r="E646" s="647" t="s">
        <v>3209</v>
      </c>
      <c r="F646" s="647">
        <v>45601</v>
      </c>
      <c r="G646" s="647" t="s">
        <v>6757</v>
      </c>
      <c r="H646" s="647" t="s">
        <v>4688</v>
      </c>
      <c r="I646" s="647" t="s">
        <v>4264</v>
      </c>
      <c r="J646" s="647">
        <v>877178</v>
      </c>
      <c r="K646" s="647" t="s">
        <v>4164</v>
      </c>
      <c r="L646" s="647" t="s">
        <v>6758</v>
      </c>
      <c r="M646" s="647" t="s">
        <v>3826</v>
      </c>
      <c r="N646" s="648">
        <v>40178</v>
      </c>
    </row>
    <row r="647" spans="1:14" x14ac:dyDescent="0.35">
      <c r="A647" s="647">
        <v>4800</v>
      </c>
      <c r="B647" s="647" t="s">
        <v>6759</v>
      </c>
      <c r="C647" s="647" t="s">
        <v>6760</v>
      </c>
      <c r="D647" s="647" t="s">
        <v>3224</v>
      </c>
      <c r="E647" s="647" t="s">
        <v>3209</v>
      </c>
      <c r="F647" s="647">
        <v>43311</v>
      </c>
      <c r="G647" s="647" t="s">
        <v>6761</v>
      </c>
      <c r="H647" s="649"/>
      <c r="I647" s="649"/>
      <c r="J647" s="647">
        <v>1063239</v>
      </c>
      <c r="K647" s="647" t="s">
        <v>4508</v>
      </c>
      <c r="L647" s="647" t="s">
        <v>6762</v>
      </c>
      <c r="M647" s="647" t="s">
        <v>3826</v>
      </c>
      <c r="N647" s="648" t="e">
        <v>#N/A</v>
      </c>
    </row>
    <row r="648" spans="1:14" x14ac:dyDescent="0.35">
      <c r="A648" s="647">
        <v>4803</v>
      </c>
      <c r="B648" s="647" t="s">
        <v>6763</v>
      </c>
      <c r="C648" s="647" t="s">
        <v>6764</v>
      </c>
      <c r="D648" s="647" t="s">
        <v>3226</v>
      </c>
      <c r="E648" s="647" t="s">
        <v>3209</v>
      </c>
      <c r="F648" s="647" t="s">
        <v>6765</v>
      </c>
      <c r="G648" s="647" t="s">
        <v>6766</v>
      </c>
      <c r="H648" s="647" t="s">
        <v>4688</v>
      </c>
      <c r="I648" s="647" t="s">
        <v>4279</v>
      </c>
      <c r="J648" s="647">
        <v>35925492</v>
      </c>
      <c r="K648" s="647" t="s">
        <v>6767</v>
      </c>
      <c r="L648" s="647" t="s">
        <v>6768</v>
      </c>
      <c r="M648" s="647" t="s">
        <v>3826</v>
      </c>
      <c r="N648" s="648">
        <v>40179</v>
      </c>
    </row>
    <row r="649" spans="1:14" x14ac:dyDescent="0.35">
      <c r="A649" s="647">
        <v>4851</v>
      </c>
      <c r="B649" s="647" t="s">
        <v>6769</v>
      </c>
      <c r="C649" s="647" t="s">
        <v>6770</v>
      </c>
      <c r="D649" s="647" t="s">
        <v>3228</v>
      </c>
      <c r="E649" s="647" t="s">
        <v>3209</v>
      </c>
      <c r="F649" s="647">
        <v>44115</v>
      </c>
      <c r="G649" s="647" t="s">
        <v>6771</v>
      </c>
      <c r="H649" s="647" t="s">
        <v>4688</v>
      </c>
      <c r="I649" s="647" t="s">
        <v>4279</v>
      </c>
      <c r="J649" s="647">
        <v>17629689</v>
      </c>
      <c r="K649" s="647" t="s">
        <v>6772</v>
      </c>
      <c r="L649" s="647" t="s">
        <v>6773</v>
      </c>
      <c r="M649" s="647" t="s">
        <v>3826</v>
      </c>
      <c r="N649" s="648">
        <v>40178</v>
      </c>
    </row>
    <row r="650" spans="1:14" x14ac:dyDescent="0.35">
      <c r="A650" s="647">
        <v>4951</v>
      </c>
      <c r="B650" s="647" t="s">
        <v>6774</v>
      </c>
      <c r="C650" s="647" t="s">
        <v>6775</v>
      </c>
      <c r="D650" s="647" t="s">
        <v>2295</v>
      </c>
      <c r="E650" s="647" t="s">
        <v>3209</v>
      </c>
      <c r="F650" s="647">
        <v>43215</v>
      </c>
      <c r="G650" s="647" t="s">
        <v>6776</v>
      </c>
      <c r="H650" s="647" t="s">
        <v>4688</v>
      </c>
      <c r="I650" s="647" t="s">
        <v>4279</v>
      </c>
      <c r="J650" s="647">
        <v>44151403</v>
      </c>
      <c r="K650" s="647" t="s">
        <v>4259</v>
      </c>
      <c r="L650" s="647" t="s">
        <v>6777</v>
      </c>
      <c r="M650" s="647" t="s">
        <v>3826</v>
      </c>
      <c r="N650" s="648">
        <v>40359</v>
      </c>
    </row>
    <row r="651" spans="1:14" x14ac:dyDescent="0.35">
      <c r="A651" s="647">
        <v>5003</v>
      </c>
      <c r="B651" s="647" t="s">
        <v>6778</v>
      </c>
      <c r="C651" s="647" t="s">
        <v>6779</v>
      </c>
      <c r="D651" s="647" t="s">
        <v>3231</v>
      </c>
      <c r="E651" s="647" t="s">
        <v>3209</v>
      </c>
      <c r="F651" s="647">
        <v>45402</v>
      </c>
      <c r="G651" s="647" t="s">
        <v>6780</v>
      </c>
      <c r="H651" s="647" t="s">
        <v>4688</v>
      </c>
      <c r="I651" s="647" t="s">
        <v>4279</v>
      </c>
      <c r="J651" s="647">
        <v>19253014</v>
      </c>
      <c r="K651" s="647" t="s">
        <v>4030</v>
      </c>
      <c r="L651" s="647" t="s">
        <v>6781</v>
      </c>
      <c r="M651" s="647" t="s">
        <v>3826</v>
      </c>
      <c r="N651" s="648">
        <v>40391</v>
      </c>
    </row>
    <row r="652" spans="1:14" x14ac:dyDescent="0.35">
      <c r="A652" s="647">
        <v>5017</v>
      </c>
      <c r="B652" s="647" t="s">
        <v>6782</v>
      </c>
      <c r="C652" s="647" t="s">
        <v>6783</v>
      </c>
      <c r="D652" s="647" t="s">
        <v>3233</v>
      </c>
      <c r="E652" s="647" t="s">
        <v>3209</v>
      </c>
      <c r="F652" s="647">
        <v>43506</v>
      </c>
      <c r="G652" s="647" t="s">
        <v>6784</v>
      </c>
      <c r="H652" s="647" t="s">
        <v>4688</v>
      </c>
      <c r="I652" s="647" t="s">
        <v>4264</v>
      </c>
      <c r="J652" s="647">
        <v>935495</v>
      </c>
      <c r="K652" s="647" t="s">
        <v>6785</v>
      </c>
      <c r="L652" s="647" t="s">
        <v>6786</v>
      </c>
      <c r="M652" s="647" t="s">
        <v>4078</v>
      </c>
      <c r="N652" s="648" t="e">
        <v>#N/A</v>
      </c>
    </row>
    <row r="653" spans="1:14" x14ac:dyDescent="0.35">
      <c r="A653" s="647">
        <v>5021</v>
      </c>
      <c r="B653" s="647" t="s">
        <v>6787</v>
      </c>
      <c r="C653" s="647" t="s">
        <v>6788</v>
      </c>
      <c r="D653" s="647" t="s">
        <v>3235</v>
      </c>
      <c r="E653" s="647" t="s">
        <v>3209</v>
      </c>
      <c r="F653" s="647">
        <v>45133</v>
      </c>
      <c r="G653" s="647" t="s">
        <v>6789</v>
      </c>
      <c r="H653" s="647" t="s">
        <v>4688</v>
      </c>
      <c r="I653" s="647" t="s">
        <v>4264</v>
      </c>
      <c r="J653" s="647">
        <v>703475</v>
      </c>
      <c r="K653" s="647" t="s">
        <v>4241</v>
      </c>
      <c r="L653" s="647" t="s">
        <v>6790</v>
      </c>
      <c r="M653" s="647" t="s">
        <v>4078</v>
      </c>
      <c r="N653" s="648" t="e">
        <v>#N/A</v>
      </c>
    </row>
    <row r="654" spans="1:14" x14ac:dyDescent="0.35">
      <c r="A654" s="647">
        <v>5022</v>
      </c>
      <c r="B654" s="647" t="s">
        <v>6791</v>
      </c>
      <c r="C654" s="647" t="s">
        <v>6792</v>
      </c>
      <c r="D654" s="647" t="s">
        <v>3236</v>
      </c>
      <c r="E654" s="647" t="s">
        <v>3209</v>
      </c>
      <c r="F654" s="647">
        <v>43160</v>
      </c>
      <c r="G654" s="647" t="s">
        <v>6793</v>
      </c>
      <c r="H654" s="647" t="s">
        <v>4688</v>
      </c>
      <c r="I654" s="647" t="s">
        <v>4264</v>
      </c>
      <c r="J654" s="647">
        <v>1220838</v>
      </c>
      <c r="K654" s="647" t="s">
        <v>6794</v>
      </c>
      <c r="L654" s="647" t="s">
        <v>6795</v>
      </c>
      <c r="M654" s="647" t="s">
        <v>4078</v>
      </c>
      <c r="N654" s="648">
        <v>40391</v>
      </c>
    </row>
    <row r="655" spans="1:14" x14ac:dyDescent="0.35">
      <c r="A655" s="647">
        <v>5024</v>
      </c>
      <c r="B655" s="647" t="s">
        <v>6796</v>
      </c>
      <c r="C655" s="647" t="s">
        <v>6797</v>
      </c>
      <c r="D655" s="647" t="s">
        <v>2224</v>
      </c>
      <c r="E655" s="647" t="s">
        <v>3209</v>
      </c>
      <c r="F655" s="647">
        <v>45177</v>
      </c>
      <c r="G655" s="647" t="s">
        <v>6798</v>
      </c>
      <c r="H655" s="649"/>
      <c r="I655" s="649"/>
      <c r="J655" s="647"/>
      <c r="K655" s="647" t="s">
        <v>6799</v>
      </c>
      <c r="L655" s="647" t="s">
        <v>6800</v>
      </c>
      <c r="M655" s="647" t="s">
        <v>3826</v>
      </c>
      <c r="N655" s="648" t="e">
        <v>#N/A</v>
      </c>
    </row>
    <row r="656" spans="1:14" x14ac:dyDescent="0.35">
      <c r="A656" s="647">
        <v>5025</v>
      </c>
      <c r="B656" s="647" t="s">
        <v>6801</v>
      </c>
      <c r="C656" s="647" t="s">
        <v>6802</v>
      </c>
      <c r="D656" s="647" t="s">
        <v>2483</v>
      </c>
      <c r="E656" s="647" t="s">
        <v>3209</v>
      </c>
      <c r="F656" s="647">
        <v>45036</v>
      </c>
      <c r="G656" s="647" t="s">
        <v>6803</v>
      </c>
      <c r="H656" s="647" t="s">
        <v>4688</v>
      </c>
      <c r="I656" s="647" t="s">
        <v>4279</v>
      </c>
      <c r="J656" s="647">
        <v>9710092</v>
      </c>
      <c r="K656" s="647" t="s">
        <v>4044</v>
      </c>
      <c r="L656" s="647" t="s">
        <v>6804</v>
      </c>
      <c r="M656" s="647" t="s">
        <v>3826</v>
      </c>
      <c r="N656" s="648">
        <v>40462</v>
      </c>
    </row>
    <row r="657" spans="1:14" x14ac:dyDescent="0.35">
      <c r="A657" s="647">
        <v>5035</v>
      </c>
      <c r="B657" s="647" t="s">
        <v>6805</v>
      </c>
      <c r="C657" s="647" t="s">
        <v>6806</v>
      </c>
      <c r="D657" s="647" t="s">
        <v>3240</v>
      </c>
      <c r="E657" s="647" t="s">
        <v>3209</v>
      </c>
      <c r="F657" s="647" t="s">
        <v>6807</v>
      </c>
      <c r="G657" s="647" t="s">
        <v>6808</v>
      </c>
      <c r="H657" s="647" t="s">
        <v>4688</v>
      </c>
      <c r="I657" s="647" t="s">
        <v>4264</v>
      </c>
      <c r="J657" s="647">
        <v>1386209</v>
      </c>
      <c r="K657" s="647" t="s">
        <v>6772</v>
      </c>
      <c r="L657" s="647" t="s">
        <v>6809</v>
      </c>
      <c r="M657" s="647" t="s">
        <v>3826</v>
      </c>
      <c r="N657" s="648">
        <v>40226</v>
      </c>
    </row>
    <row r="658" spans="1:14" x14ac:dyDescent="0.35">
      <c r="A658" s="647">
        <v>5036</v>
      </c>
      <c r="B658" s="647" t="s">
        <v>6810</v>
      </c>
      <c r="C658" s="647" t="s">
        <v>6811</v>
      </c>
      <c r="D658" s="647" t="s">
        <v>2412</v>
      </c>
      <c r="E658" s="647" t="s">
        <v>3209</v>
      </c>
      <c r="F658" s="647">
        <v>45875</v>
      </c>
      <c r="G658" s="647" t="s">
        <v>6812</v>
      </c>
      <c r="H658" s="647" t="s">
        <v>4688</v>
      </c>
      <c r="I658" s="647" t="s">
        <v>4264</v>
      </c>
      <c r="J658" s="647">
        <v>664703</v>
      </c>
      <c r="K658" s="647" t="s">
        <v>3880</v>
      </c>
      <c r="L658" s="647" t="s">
        <v>6813</v>
      </c>
      <c r="M658" s="647" t="s">
        <v>4078</v>
      </c>
      <c r="N658" s="648">
        <v>40411</v>
      </c>
    </row>
    <row r="659" spans="1:14" x14ac:dyDescent="0.35">
      <c r="A659" s="647">
        <v>5039</v>
      </c>
      <c r="B659" s="647" t="s">
        <v>6814</v>
      </c>
      <c r="C659" s="647" t="s">
        <v>6815</v>
      </c>
      <c r="D659" s="647" t="s">
        <v>3243</v>
      </c>
      <c r="E659" s="647" t="s">
        <v>3209</v>
      </c>
      <c r="F659" s="647">
        <v>43920</v>
      </c>
      <c r="G659" s="647" t="s">
        <v>6816</v>
      </c>
      <c r="H659" s="647" t="s">
        <v>4688</v>
      </c>
      <c r="I659" s="647" t="s">
        <v>4264</v>
      </c>
      <c r="J659" s="647">
        <v>1382140</v>
      </c>
      <c r="K659" s="647" t="s">
        <v>3830</v>
      </c>
      <c r="L659" s="647" t="s">
        <v>6553</v>
      </c>
      <c r="M659" s="647" t="s">
        <v>3826</v>
      </c>
      <c r="N659" s="648" t="e">
        <v>#N/A</v>
      </c>
    </row>
    <row r="660" spans="1:14" x14ac:dyDescent="0.35">
      <c r="A660" s="647">
        <v>5047</v>
      </c>
      <c r="B660" s="647" t="s">
        <v>6817</v>
      </c>
      <c r="C660" s="647" t="s">
        <v>6818</v>
      </c>
      <c r="D660" s="647" t="s">
        <v>3245</v>
      </c>
      <c r="E660" s="647" t="s">
        <v>3209</v>
      </c>
      <c r="F660" s="647" t="s">
        <v>6819</v>
      </c>
      <c r="G660" s="647" t="s">
        <v>6820</v>
      </c>
      <c r="H660" s="647" t="s">
        <v>4688</v>
      </c>
      <c r="I660" s="647" t="s">
        <v>4279</v>
      </c>
      <c r="J660" s="647">
        <v>3581012</v>
      </c>
      <c r="K660" s="647" t="s">
        <v>4181</v>
      </c>
      <c r="L660" s="647" t="s">
        <v>6821</v>
      </c>
      <c r="M660" s="647" t="s">
        <v>3826</v>
      </c>
      <c r="N660" s="648">
        <v>40330</v>
      </c>
    </row>
    <row r="661" spans="1:14" x14ac:dyDescent="0.35">
      <c r="A661" s="647">
        <v>5051</v>
      </c>
      <c r="B661" s="647" t="s">
        <v>6822</v>
      </c>
      <c r="C661" s="647" t="s">
        <v>6823</v>
      </c>
      <c r="D661" s="647" t="s">
        <v>3247</v>
      </c>
      <c r="E661" s="647" t="s">
        <v>3209</v>
      </c>
      <c r="F661" s="647">
        <v>44830</v>
      </c>
      <c r="G661" s="647" t="s">
        <v>6824</v>
      </c>
      <c r="H661" s="649"/>
      <c r="I661" s="649"/>
      <c r="J661" s="647">
        <v>1054512</v>
      </c>
      <c r="K661" s="647" t="s">
        <v>4052</v>
      </c>
      <c r="L661" s="647" t="s">
        <v>5621</v>
      </c>
      <c r="M661" s="647" t="s">
        <v>3826</v>
      </c>
      <c r="N661" s="648" t="e">
        <v>#N/A</v>
      </c>
    </row>
    <row r="662" spans="1:14" x14ac:dyDescent="0.35">
      <c r="A662" s="647">
        <v>5059</v>
      </c>
      <c r="B662" s="647" t="s">
        <v>6825</v>
      </c>
      <c r="C662" s="647" t="s">
        <v>6826</v>
      </c>
      <c r="D662" s="647" t="s">
        <v>2858</v>
      </c>
      <c r="E662" s="647" t="s">
        <v>3209</v>
      </c>
      <c r="F662" s="647" t="s">
        <v>6827</v>
      </c>
      <c r="G662" s="647" t="s">
        <v>6828</v>
      </c>
      <c r="H662" s="649"/>
      <c r="I662" s="649"/>
      <c r="J662" s="647">
        <v>1860979</v>
      </c>
      <c r="K662" s="647" t="s">
        <v>4558</v>
      </c>
      <c r="L662" s="647" t="s">
        <v>6829</v>
      </c>
      <c r="M662" s="647" t="s">
        <v>3826</v>
      </c>
      <c r="N662" s="648" t="e">
        <v>#N/A</v>
      </c>
    </row>
    <row r="663" spans="1:14" x14ac:dyDescent="0.35">
      <c r="A663" s="647">
        <v>5063</v>
      </c>
      <c r="B663" s="647" t="s">
        <v>6830</v>
      </c>
      <c r="C663" s="647" t="s">
        <v>6831</v>
      </c>
      <c r="D663" s="647" t="s">
        <v>3003</v>
      </c>
      <c r="E663" s="647" t="s">
        <v>3209</v>
      </c>
      <c r="F663" s="647">
        <v>45011</v>
      </c>
      <c r="G663" s="647" t="s">
        <v>6832</v>
      </c>
      <c r="H663" s="647" t="s">
        <v>4688</v>
      </c>
      <c r="I663" s="647" t="s">
        <v>4264</v>
      </c>
      <c r="J663" s="647">
        <v>12268947</v>
      </c>
      <c r="K663" s="647" t="s">
        <v>6614</v>
      </c>
      <c r="L663" s="647" t="s">
        <v>6833</v>
      </c>
      <c r="M663" s="647" t="s">
        <v>3826</v>
      </c>
      <c r="N663" s="648">
        <v>40179</v>
      </c>
    </row>
    <row r="664" spans="1:14" x14ac:dyDescent="0.35">
      <c r="A664" s="647">
        <v>5067</v>
      </c>
      <c r="B664" s="647" t="s">
        <v>6834</v>
      </c>
      <c r="C664" s="647" t="s">
        <v>6835</v>
      </c>
      <c r="D664" s="647" t="s">
        <v>3251</v>
      </c>
      <c r="E664" s="647" t="s">
        <v>3209</v>
      </c>
      <c r="F664" s="647">
        <v>60087</v>
      </c>
      <c r="G664" s="647" t="s">
        <v>6836</v>
      </c>
      <c r="H664" s="649"/>
      <c r="I664" s="649"/>
      <c r="J664" s="647">
        <v>7372516</v>
      </c>
      <c r="K664" s="647" t="s">
        <v>4369</v>
      </c>
      <c r="L664" s="647" t="s">
        <v>4220</v>
      </c>
      <c r="M664" s="647" t="s">
        <v>3826</v>
      </c>
      <c r="N664" s="648" t="e">
        <v>#N/A</v>
      </c>
    </row>
    <row r="665" spans="1:14" x14ac:dyDescent="0.35">
      <c r="A665" s="647">
        <v>5081</v>
      </c>
      <c r="B665" s="647" t="s">
        <v>6837</v>
      </c>
      <c r="C665" s="647" t="s">
        <v>6838</v>
      </c>
      <c r="D665" s="647" t="s">
        <v>2796</v>
      </c>
      <c r="E665" s="647" t="s">
        <v>3209</v>
      </c>
      <c r="F665" s="647" t="s">
        <v>6839</v>
      </c>
      <c r="G665" s="647" t="s">
        <v>6840</v>
      </c>
      <c r="H665" s="647" t="s">
        <v>4688</v>
      </c>
      <c r="I665" s="647" t="s">
        <v>4279</v>
      </c>
      <c r="J665" s="647">
        <v>334461</v>
      </c>
      <c r="K665" s="647" t="s">
        <v>6841</v>
      </c>
      <c r="L665" s="647" t="s">
        <v>6842</v>
      </c>
      <c r="M665" s="647" t="s">
        <v>4078</v>
      </c>
      <c r="N665" s="648">
        <v>40360</v>
      </c>
    </row>
    <row r="666" spans="1:14" x14ac:dyDescent="0.35">
      <c r="A666" s="647">
        <v>5083</v>
      </c>
      <c r="B666" s="647" t="s">
        <v>6843</v>
      </c>
      <c r="C666" s="647" t="s">
        <v>6844</v>
      </c>
      <c r="D666" s="647" t="s">
        <v>3254</v>
      </c>
      <c r="E666" s="647" t="s">
        <v>3209</v>
      </c>
      <c r="F666" s="647" t="s">
        <v>6845</v>
      </c>
      <c r="G666" s="647" t="s">
        <v>6846</v>
      </c>
      <c r="H666" s="649"/>
      <c r="I666" s="649"/>
      <c r="J666" s="647">
        <v>2238749</v>
      </c>
      <c r="K666" s="647" t="s">
        <v>4044</v>
      </c>
      <c r="L666" s="647" t="s">
        <v>6847</v>
      </c>
      <c r="M666" s="647" t="s">
        <v>3826</v>
      </c>
      <c r="N666" s="648" t="e">
        <v>#N/A</v>
      </c>
    </row>
    <row r="667" spans="1:14" x14ac:dyDescent="0.35">
      <c r="A667" s="647">
        <v>5085</v>
      </c>
      <c r="B667" s="647" t="s">
        <v>6848</v>
      </c>
      <c r="C667" s="647" t="s">
        <v>6849</v>
      </c>
      <c r="D667" s="647" t="s">
        <v>3256</v>
      </c>
      <c r="E667" s="647" t="s">
        <v>3209</v>
      </c>
      <c r="F667" s="647" t="s">
        <v>6850</v>
      </c>
      <c r="G667" s="647" t="s">
        <v>6851</v>
      </c>
      <c r="H667" s="647" t="s">
        <v>4688</v>
      </c>
      <c r="I667" s="647" t="s">
        <v>4279</v>
      </c>
      <c r="J667" s="647">
        <v>612775</v>
      </c>
      <c r="K667" s="647" t="s">
        <v>4346</v>
      </c>
      <c r="L667" s="647" t="s">
        <v>6852</v>
      </c>
      <c r="M667" s="647" t="s">
        <v>3826</v>
      </c>
      <c r="N667" s="648" t="e">
        <v>#N/A</v>
      </c>
    </row>
    <row r="668" spans="1:14" x14ac:dyDescent="0.35">
      <c r="A668" s="647">
        <v>5087</v>
      </c>
      <c r="B668" s="647" t="s">
        <v>6853</v>
      </c>
      <c r="C668" s="647" t="s">
        <v>6854</v>
      </c>
      <c r="D668" s="647" t="s">
        <v>3258</v>
      </c>
      <c r="E668" s="647" t="s">
        <v>3209</v>
      </c>
      <c r="F668" s="647" t="s">
        <v>6855</v>
      </c>
      <c r="G668" s="647" t="s">
        <v>6856</v>
      </c>
      <c r="H668" s="647" t="s">
        <v>4688</v>
      </c>
      <c r="I668" s="647" t="s">
        <v>4264</v>
      </c>
      <c r="J668" s="647">
        <v>2660121</v>
      </c>
      <c r="K668" s="647" t="s">
        <v>3824</v>
      </c>
      <c r="L668" s="647" t="s">
        <v>6342</v>
      </c>
      <c r="M668" s="647" t="s">
        <v>3826</v>
      </c>
      <c r="N668" s="648">
        <v>40217</v>
      </c>
    </row>
    <row r="669" spans="1:14" x14ac:dyDescent="0.35">
      <c r="A669" s="647">
        <v>5095</v>
      </c>
      <c r="B669" s="647" t="s">
        <v>6857</v>
      </c>
      <c r="C669" s="647" t="s">
        <v>6858</v>
      </c>
      <c r="D669" s="647" t="s">
        <v>3260</v>
      </c>
      <c r="E669" s="647" t="s">
        <v>3209</v>
      </c>
      <c r="F669" s="647">
        <v>44907</v>
      </c>
      <c r="G669" s="647" t="s">
        <v>6859</v>
      </c>
      <c r="H669" s="647" t="s">
        <v>4688</v>
      </c>
      <c r="I669" s="647" t="s">
        <v>4279</v>
      </c>
      <c r="J669" s="647">
        <v>3650481</v>
      </c>
      <c r="K669" s="647" t="s">
        <v>4044</v>
      </c>
      <c r="L669" s="647" t="s">
        <v>6860</v>
      </c>
      <c r="M669" s="647" t="s">
        <v>3826</v>
      </c>
      <c r="N669" s="648" t="e">
        <v>#N/A</v>
      </c>
    </row>
    <row r="670" spans="1:14" x14ac:dyDescent="0.35">
      <c r="A670" s="647">
        <v>5099</v>
      </c>
      <c r="B670" s="647" t="s">
        <v>6861</v>
      </c>
      <c r="C670" s="647" t="s">
        <v>6862</v>
      </c>
      <c r="D670" s="647" t="s">
        <v>3262</v>
      </c>
      <c r="E670" s="647" t="s">
        <v>3209</v>
      </c>
      <c r="F670" s="647" t="s">
        <v>6863</v>
      </c>
      <c r="G670" s="647" t="s">
        <v>6864</v>
      </c>
      <c r="H670" s="647" t="s">
        <v>4688</v>
      </c>
      <c r="I670" s="647" t="s">
        <v>4279</v>
      </c>
      <c r="J670" s="647">
        <v>1076250</v>
      </c>
      <c r="K670" s="647" t="s">
        <v>4241</v>
      </c>
      <c r="L670" s="647" t="s">
        <v>6865</v>
      </c>
      <c r="M670" s="647" t="s">
        <v>4078</v>
      </c>
      <c r="N670" s="648" t="e">
        <v>#N/A</v>
      </c>
    </row>
    <row r="671" spans="1:14" x14ac:dyDescent="0.35">
      <c r="A671" s="647">
        <v>5103</v>
      </c>
      <c r="B671" s="647" t="s">
        <v>6866</v>
      </c>
      <c r="C671" s="647" t="s">
        <v>6867</v>
      </c>
      <c r="D671" s="647" t="s">
        <v>3264</v>
      </c>
      <c r="E671" s="647" t="s">
        <v>3209</v>
      </c>
      <c r="F671" s="647" t="s">
        <v>6868</v>
      </c>
      <c r="G671" s="647" t="s">
        <v>6869</v>
      </c>
      <c r="H671" s="647" t="s">
        <v>4688</v>
      </c>
      <c r="I671" s="647" t="s">
        <v>3925</v>
      </c>
      <c r="J671" s="647">
        <v>1730047</v>
      </c>
      <c r="K671" s="647" t="s">
        <v>6870</v>
      </c>
      <c r="L671" s="647" t="s">
        <v>5063</v>
      </c>
      <c r="M671" s="647" t="s">
        <v>3826</v>
      </c>
      <c r="N671" s="648" t="e">
        <v>#N/A</v>
      </c>
    </row>
    <row r="672" spans="1:14" x14ac:dyDescent="0.35">
      <c r="A672" s="647">
        <v>5107</v>
      </c>
      <c r="B672" s="647" t="s">
        <v>6871</v>
      </c>
      <c r="C672" s="647" t="s">
        <v>6872</v>
      </c>
      <c r="D672" s="647" t="s">
        <v>2511</v>
      </c>
      <c r="E672" s="647" t="s">
        <v>3209</v>
      </c>
      <c r="F672" s="647">
        <v>43302</v>
      </c>
      <c r="G672" s="647" t="s">
        <v>6873</v>
      </c>
      <c r="H672" s="649"/>
      <c r="I672" s="649"/>
      <c r="J672" s="647">
        <v>2081592</v>
      </c>
      <c r="K672" s="647" t="s">
        <v>4493</v>
      </c>
      <c r="L672" s="647" t="s">
        <v>6874</v>
      </c>
      <c r="M672" s="647" t="s">
        <v>4078</v>
      </c>
      <c r="N672" s="648" t="e">
        <v>#N/A</v>
      </c>
    </row>
    <row r="673" spans="1:14" x14ac:dyDescent="0.35">
      <c r="A673" s="647">
        <v>5109</v>
      </c>
      <c r="B673" s="647" t="s">
        <v>6875</v>
      </c>
      <c r="C673" s="647" t="s">
        <v>6876</v>
      </c>
      <c r="D673" s="647" t="s">
        <v>3267</v>
      </c>
      <c r="E673" s="647" t="s">
        <v>3209</v>
      </c>
      <c r="F673" s="647">
        <v>43040</v>
      </c>
      <c r="G673" s="647" t="s">
        <v>6877</v>
      </c>
      <c r="H673" s="649"/>
      <c r="I673" s="649"/>
      <c r="J673" s="647">
        <v>1531205</v>
      </c>
      <c r="K673" s="647" t="s">
        <v>3956</v>
      </c>
      <c r="L673" s="647" t="s">
        <v>6878</v>
      </c>
      <c r="M673" s="647" t="s">
        <v>3826</v>
      </c>
      <c r="N673" s="648" t="e">
        <v>#N/A</v>
      </c>
    </row>
    <row r="674" spans="1:14" x14ac:dyDescent="0.35">
      <c r="A674" s="647">
        <v>5111</v>
      </c>
      <c r="B674" s="647" t="s">
        <v>6879</v>
      </c>
      <c r="C674" s="647" t="s">
        <v>6880</v>
      </c>
      <c r="D674" s="647" t="s">
        <v>3269</v>
      </c>
      <c r="E674" s="647" t="s">
        <v>3209</v>
      </c>
      <c r="F674" s="647" t="s">
        <v>6881</v>
      </c>
      <c r="G674" s="647" t="s">
        <v>6882</v>
      </c>
      <c r="H674" s="647" t="s">
        <v>4688</v>
      </c>
      <c r="I674" s="647" t="s">
        <v>4279</v>
      </c>
      <c r="J674" s="647">
        <v>1380209</v>
      </c>
      <c r="K674" s="647" t="s">
        <v>3835</v>
      </c>
      <c r="L674" s="647" t="s">
        <v>6883</v>
      </c>
      <c r="M674" s="647" t="s">
        <v>3826</v>
      </c>
      <c r="N674" s="648">
        <v>40391</v>
      </c>
    </row>
    <row r="675" spans="1:14" x14ac:dyDescent="0.35">
      <c r="A675" s="647">
        <v>5123</v>
      </c>
      <c r="B675" s="647" t="s">
        <v>6884</v>
      </c>
      <c r="C675" s="647" t="s">
        <v>6885</v>
      </c>
      <c r="D675" s="647" t="s">
        <v>3271</v>
      </c>
      <c r="E675" s="647" t="s">
        <v>3209</v>
      </c>
      <c r="F675" s="647">
        <v>43050</v>
      </c>
      <c r="G675" s="647" t="s">
        <v>6886</v>
      </c>
      <c r="H675" s="647" t="s">
        <v>4688</v>
      </c>
      <c r="I675" s="647" t="s">
        <v>4264</v>
      </c>
      <c r="J675" s="647">
        <v>872524</v>
      </c>
      <c r="K675" s="647" t="s">
        <v>5546</v>
      </c>
      <c r="L675" s="647" t="s">
        <v>6887</v>
      </c>
      <c r="M675" s="647" t="s">
        <v>3826</v>
      </c>
      <c r="N675" s="648" t="e">
        <v>#N/A</v>
      </c>
    </row>
    <row r="676" spans="1:14" x14ac:dyDescent="0.35">
      <c r="A676" s="647">
        <v>5127</v>
      </c>
      <c r="B676" s="647" t="s">
        <v>6888</v>
      </c>
      <c r="C676" s="647" t="s">
        <v>6889</v>
      </c>
      <c r="D676" s="647" t="s">
        <v>3022</v>
      </c>
      <c r="E676" s="647" t="s">
        <v>3209</v>
      </c>
      <c r="F676" s="647" t="s">
        <v>6890</v>
      </c>
      <c r="G676" s="647" t="s">
        <v>6891</v>
      </c>
      <c r="H676" s="649"/>
      <c r="I676" s="649"/>
      <c r="J676" s="647">
        <v>3688016</v>
      </c>
      <c r="K676" s="647" t="s">
        <v>4940</v>
      </c>
      <c r="L676" s="647" t="s">
        <v>6892</v>
      </c>
      <c r="M676" s="647" t="s">
        <v>3826</v>
      </c>
      <c r="N676" s="648" t="e">
        <v>#N/A</v>
      </c>
    </row>
    <row r="677" spans="1:14" x14ac:dyDescent="0.35">
      <c r="A677" s="647">
        <v>5155</v>
      </c>
      <c r="B677" s="647" t="s">
        <v>6893</v>
      </c>
      <c r="C677" s="647" t="s">
        <v>6894</v>
      </c>
      <c r="D677" s="647" t="s">
        <v>3274</v>
      </c>
      <c r="E677" s="647" t="s">
        <v>3209</v>
      </c>
      <c r="F677" s="647" t="s">
        <v>6895</v>
      </c>
      <c r="G677" s="647" t="s">
        <v>6896</v>
      </c>
      <c r="H677" s="647" t="s">
        <v>4688</v>
      </c>
      <c r="I677" s="647" t="s">
        <v>3925</v>
      </c>
      <c r="J677" s="647">
        <v>3227201</v>
      </c>
      <c r="K677" s="647" t="s">
        <v>2734</v>
      </c>
      <c r="L677" s="647" t="s">
        <v>6897</v>
      </c>
      <c r="M677" s="647" t="s">
        <v>3826</v>
      </c>
      <c r="N677" s="648" t="e">
        <v>#N/A</v>
      </c>
    </row>
    <row r="678" spans="1:14" x14ac:dyDescent="0.35">
      <c r="A678" s="647">
        <v>5163</v>
      </c>
      <c r="B678" s="647" t="s">
        <v>6898</v>
      </c>
      <c r="C678" s="647" t="s">
        <v>6899</v>
      </c>
      <c r="D678" s="647" t="s">
        <v>3276</v>
      </c>
      <c r="E678" s="647" t="s">
        <v>3209</v>
      </c>
      <c r="F678" s="647" t="s">
        <v>6900</v>
      </c>
      <c r="G678" s="647" t="s">
        <v>6901</v>
      </c>
      <c r="H678" s="649"/>
      <c r="I678" s="649"/>
      <c r="J678" s="647">
        <v>1102004</v>
      </c>
      <c r="K678" s="647" t="s">
        <v>5301</v>
      </c>
      <c r="L678" s="647" t="s">
        <v>6902</v>
      </c>
      <c r="M678" s="647" t="s">
        <v>4078</v>
      </c>
      <c r="N678" s="648" t="e">
        <v>#N/A</v>
      </c>
    </row>
    <row r="679" spans="1:14" x14ac:dyDescent="0.35">
      <c r="A679" s="647">
        <v>5167</v>
      </c>
      <c r="B679" s="647" t="s">
        <v>6903</v>
      </c>
      <c r="C679" s="647" t="s">
        <v>6904</v>
      </c>
      <c r="D679" s="647" t="s">
        <v>2928</v>
      </c>
      <c r="E679" s="647" t="s">
        <v>3209</v>
      </c>
      <c r="F679" s="647">
        <v>43420</v>
      </c>
      <c r="G679" s="647" t="s">
        <v>6905</v>
      </c>
      <c r="H679" s="647" t="s">
        <v>4688</v>
      </c>
      <c r="I679" s="647" t="s">
        <v>3925</v>
      </c>
      <c r="J679" s="647">
        <v>983805</v>
      </c>
      <c r="K679" s="647" t="s">
        <v>4270</v>
      </c>
      <c r="L679" s="647" t="s">
        <v>6906</v>
      </c>
      <c r="M679" s="647" t="s">
        <v>4078</v>
      </c>
      <c r="N679" s="648" t="e">
        <v>#N/A</v>
      </c>
    </row>
    <row r="680" spans="1:14" x14ac:dyDescent="0.35">
      <c r="A680" s="647">
        <v>5171</v>
      </c>
      <c r="B680" s="647" t="s">
        <v>6907</v>
      </c>
      <c r="C680" s="647" t="s">
        <v>6908</v>
      </c>
      <c r="D680" s="647" t="s">
        <v>3155</v>
      </c>
      <c r="E680" s="647" t="s">
        <v>3209</v>
      </c>
      <c r="F680" s="647" t="s">
        <v>4081</v>
      </c>
      <c r="G680" s="647" t="s">
        <v>6909</v>
      </c>
      <c r="H680" s="647" t="s">
        <v>4688</v>
      </c>
      <c r="I680" s="647" t="s">
        <v>4279</v>
      </c>
      <c r="J680" s="647"/>
      <c r="K680" s="647" t="s">
        <v>4118</v>
      </c>
      <c r="L680" s="647" t="s">
        <v>6910</v>
      </c>
      <c r="M680" s="647" t="s">
        <v>3826</v>
      </c>
      <c r="N680" s="648" t="e">
        <v>#N/A</v>
      </c>
    </row>
    <row r="681" spans="1:14" x14ac:dyDescent="0.35">
      <c r="A681" s="647">
        <v>5175</v>
      </c>
      <c r="B681" s="647" t="s">
        <v>6911</v>
      </c>
      <c r="C681" s="647" t="s">
        <v>6912</v>
      </c>
      <c r="D681" s="647" t="s">
        <v>3280</v>
      </c>
      <c r="E681" s="647" t="s">
        <v>3209</v>
      </c>
      <c r="F681" s="647">
        <v>45365</v>
      </c>
      <c r="G681" s="647" t="s">
        <v>6913</v>
      </c>
      <c r="H681" s="649"/>
      <c r="I681" s="649"/>
      <c r="J681" s="647">
        <v>2270571</v>
      </c>
      <c r="K681" s="647" t="s">
        <v>4940</v>
      </c>
      <c r="L681" s="647" t="s">
        <v>4540</v>
      </c>
      <c r="M681" s="647" t="s">
        <v>4078</v>
      </c>
      <c r="N681" s="648" t="e">
        <v>#N/A</v>
      </c>
    </row>
    <row r="682" spans="1:14" x14ac:dyDescent="0.35">
      <c r="A682" s="647">
        <v>5178</v>
      </c>
      <c r="B682" s="647" t="s">
        <v>6914</v>
      </c>
      <c r="C682" s="647" t="s">
        <v>6915</v>
      </c>
      <c r="D682" s="647" t="s">
        <v>2424</v>
      </c>
      <c r="E682" s="647" t="s">
        <v>3209</v>
      </c>
      <c r="F682" s="647">
        <v>45505</v>
      </c>
      <c r="G682" s="647" t="s">
        <v>6916</v>
      </c>
      <c r="H682" s="649"/>
      <c r="I682" s="649"/>
      <c r="J682" s="647">
        <v>1543945</v>
      </c>
      <c r="K682" s="647" t="s">
        <v>6917</v>
      </c>
      <c r="L682" s="647" t="s">
        <v>6918</v>
      </c>
      <c r="M682" s="647" t="s">
        <v>3826</v>
      </c>
      <c r="N682" s="648" t="e">
        <v>#N/A</v>
      </c>
    </row>
    <row r="683" spans="1:14" x14ac:dyDescent="0.35">
      <c r="A683" s="647">
        <v>5180</v>
      </c>
      <c r="B683" s="647" t="s">
        <v>6919</v>
      </c>
      <c r="C683" s="647" t="s">
        <v>6920</v>
      </c>
      <c r="D683" s="647" t="s">
        <v>3283</v>
      </c>
      <c r="E683" s="647" t="s">
        <v>3209</v>
      </c>
      <c r="F683" s="647" t="s">
        <v>6921</v>
      </c>
      <c r="G683" s="647" t="s">
        <v>6922</v>
      </c>
      <c r="H683" s="647" t="s">
        <v>4688</v>
      </c>
      <c r="I683" s="647" t="s">
        <v>4264</v>
      </c>
      <c r="J683" s="647">
        <v>1410934</v>
      </c>
      <c r="K683" s="647" t="s">
        <v>4134</v>
      </c>
      <c r="L683" s="647" t="s">
        <v>6923</v>
      </c>
      <c r="M683" s="647" t="s">
        <v>3826</v>
      </c>
      <c r="N683" s="648">
        <v>40363</v>
      </c>
    </row>
    <row r="684" spans="1:14" x14ac:dyDescent="0.35">
      <c r="A684" s="647">
        <v>5191</v>
      </c>
      <c r="B684" s="647" t="s">
        <v>6924</v>
      </c>
      <c r="C684" s="647" t="s">
        <v>6925</v>
      </c>
      <c r="D684" s="647" t="s">
        <v>3285</v>
      </c>
      <c r="E684" s="647" t="s">
        <v>3209</v>
      </c>
      <c r="F684" s="647">
        <v>73701</v>
      </c>
      <c r="G684" s="647" t="s">
        <v>6926</v>
      </c>
      <c r="H684" s="649"/>
      <c r="I684" s="649"/>
      <c r="J684" s="647"/>
      <c r="K684" s="647" t="s">
        <v>6927</v>
      </c>
      <c r="L684" s="647" t="s">
        <v>6928</v>
      </c>
      <c r="M684" s="647" t="s">
        <v>3826</v>
      </c>
      <c r="N684" s="648" t="e">
        <v>#N/A</v>
      </c>
    </row>
    <row r="685" spans="1:14" x14ac:dyDescent="0.35">
      <c r="A685" s="647">
        <v>5203</v>
      </c>
      <c r="B685" s="647" t="s">
        <v>6929</v>
      </c>
      <c r="C685" s="647" t="s">
        <v>6930</v>
      </c>
      <c r="D685" s="647" t="s">
        <v>3287</v>
      </c>
      <c r="E685" s="647" t="s">
        <v>3209</v>
      </c>
      <c r="F685" s="647">
        <v>16354</v>
      </c>
      <c r="G685" s="647" t="s">
        <v>6931</v>
      </c>
      <c r="H685" s="649"/>
      <c r="I685" s="649"/>
      <c r="J685" s="647">
        <v>1034407</v>
      </c>
      <c r="K685" s="647" t="s">
        <v>3880</v>
      </c>
      <c r="L685" s="647" t="s">
        <v>6932</v>
      </c>
      <c r="M685" s="647" t="s">
        <v>3826</v>
      </c>
      <c r="N685" s="648" t="e">
        <v>#N/A</v>
      </c>
    </row>
    <row r="686" spans="1:14" x14ac:dyDescent="0.35">
      <c r="A686" s="647">
        <v>5207</v>
      </c>
      <c r="B686" s="647" t="s">
        <v>6933</v>
      </c>
      <c r="C686" s="647" t="s">
        <v>6934</v>
      </c>
      <c r="D686" s="647" t="s">
        <v>3289</v>
      </c>
      <c r="E686" s="647" t="s">
        <v>3209</v>
      </c>
      <c r="F686" s="647">
        <v>43604</v>
      </c>
      <c r="G686" s="647" t="s">
        <v>6935</v>
      </c>
      <c r="H686" s="647" t="s">
        <v>4688</v>
      </c>
      <c r="I686" s="647" t="s">
        <v>4264</v>
      </c>
      <c r="J686" s="647">
        <v>32670554</v>
      </c>
      <c r="K686" s="647" t="s">
        <v>6936</v>
      </c>
      <c r="L686" s="647" t="s">
        <v>4676</v>
      </c>
      <c r="M686" s="647" t="s">
        <v>3826</v>
      </c>
      <c r="N686" s="648">
        <v>40436</v>
      </c>
    </row>
    <row r="687" spans="1:14" x14ac:dyDescent="0.35">
      <c r="A687" s="647">
        <v>5243</v>
      </c>
      <c r="B687" s="647" t="s">
        <v>6937</v>
      </c>
      <c r="C687" s="647" t="s">
        <v>6938</v>
      </c>
      <c r="D687" s="647" t="s">
        <v>3291</v>
      </c>
      <c r="E687" s="647" t="s">
        <v>3209</v>
      </c>
      <c r="F687" s="647">
        <v>61265</v>
      </c>
      <c r="G687" s="647" t="s">
        <v>6939</v>
      </c>
      <c r="H687" s="649"/>
      <c r="I687" s="649"/>
      <c r="J687" s="647">
        <v>1579827</v>
      </c>
      <c r="K687" s="647" t="s">
        <v>6940</v>
      </c>
      <c r="L687" s="647" t="s">
        <v>6941</v>
      </c>
      <c r="M687" s="647" t="s">
        <v>3826</v>
      </c>
      <c r="N687" s="648" t="e">
        <v>#N/A</v>
      </c>
    </row>
    <row r="688" spans="1:14" x14ac:dyDescent="0.35">
      <c r="A688" s="647">
        <v>5247</v>
      </c>
      <c r="B688" s="647" t="s">
        <v>6942</v>
      </c>
      <c r="C688" s="647" t="s">
        <v>6943</v>
      </c>
      <c r="D688" s="647" t="s">
        <v>3293</v>
      </c>
      <c r="E688" s="647" t="s">
        <v>3209</v>
      </c>
      <c r="F688" s="647" t="s">
        <v>6944</v>
      </c>
      <c r="G688" s="647" t="s">
        <v>6945</v>
      </c>
      <c r="H688" s="647" t="s">
        <v>4688</v>
      </c>
      <c r="I688" s="647" t="s">
        <v>3925</v>
      </c>
      <c r="J688" s="647">
        <v>780026</v>
      </c>
      <c r="K688" s="647" t="s">
        <v>6946</v>
      </c>
      <c r="L688" s="647" t="s">
        <v>6947</v>
      </c>
      <c r="M688" s="647" t="s">
        <v>4078</v>
      </c>
      <c r="N688" s="648" t="e">
        <v>#N/A</v>
      </c>
    </row>
    <row r="689" spans="1:14" x14ac:dyDescent="0.35">
      <c r="A689" s="647">
        <v>5250</v>
      </c>
      <c r="B689" s="647" t="s">
        <v>6948</v>
      </c>
      <c r="C689" s="647" t="s">
        <v>6949</v>
      </c>
      <c r="D689" s="647" t="s">
        <v>3295</v>
      </c>
      <c r="E689" s="647" t="s">
        <v>3209</v>
      </c>
      <c r="F689" s="647" t="s">
        <v>6950</v>
      </c>
      <c r="G689" s="647" t="s">
        <v>6951</v>
      </c>
      <c r="H689" s="649"/>
      <c r="I689" s="649"/>
      <c r="J689" s="647">
        <v>834522</v>
      </c>
      <c r="K689" s="647" t="s">
        <v>6952</v>
      </c>
      <c r="L689" s="647" t="s">
        <v>6953</v>
      </c>
      <c r="M689" s="647" t="s">
        <v>3826</v>
      </c>
      <c r="N689" s="648" t="e">
        <v>#N/A</v>
      </c>
    </row>
    <row r="690" spans="1:14" x14ac:dyDescent="0.35">
      <c r="A690" s="647">
        <v>5252</v>
      </c>
      <c r="B690" s="647" t="s">
        <v>6954</v>
      </c>
      <c r="C690" s="647" t="s">
        <v>6955</v>
      </c>
      <c r="D690" s="647" t="s">
        <v>2082</v>
      </c>
      <c r="E690" s="647" t="s">
        <v>3209</v>
      </c>
      <c r="F690" s="647" t="s">
        <v>6956</v>
      </c>
      <c r="G690" s="647" t="s">
        <v>6957</v>
      </c>
      <c r="H690" s="647" t="s">
        <v>4688</v>
      </c>
      <c r="I690" s="647" t="s">
        <v>4264</v>
      </c>
      <c r="J690" s="647"/>
      <c r="K690" s="647" t="s">
        <v>6958</v>
      </c>
      <c r="L690" s="647" t="s">
        <v>6959</v>
      </c>
      <c r="M690" s="647" t="s">
        <v>4078</v>
      </c>
      <c r="N690" s="648">
        <v>40483</v>
      </c>
    </row>
    <row r="691" spans="1:14" x14ac:dyDescent="0.35">
      <c r="A691" s="647">
        <v>5254</v>
      </c>
      <c r="B691" s="647" t="s">
        <v>6960</v>
      </c>
      <c r="C691" s="647" t="s">
        <v>6961</v>
      </c>
      <c r="D691" s="647" t="s">
        <v>3297</v>
      </c>
      <c r="E691" s="647" t="s">
        <v>3209</v>
      </c>
      <c r="F691" s="647">
        <v>45071</v>
      </c>
      <c r="G691" s="647" t="s">
        <v>6962</v>
      </c>
      <c r="H691" s="649"/>
      <c r="I691" s="649"/>
      <c r="J691" s="647">
        <v>2322808</v>
      </c>
      <c r="K691" s="647" t="s">
        <v>4259</v>
      </c>
      <c r="L691" s="647" t="s">
        <v>6963</v>
      </c>
      <c r="M691" s="647" t="s">
        <v>3826</v>
      </c>
      <c r="N691" s="648" t="e">
        <v>#N/A</v>
      </c>
    </row>
    <row r="692" spans="1:14" x14ac:dyDescent="0.35">
      <c r="A692" s="647">
        <v>5255</v>
      </c>
      <c r="B692" s="647" t="s">
        <v>6964</v>
      </c>
      <c r="C692" s="647" t="s">
        <v>6965</v>
      </c>
      <c r="D692" s="647" t="s">
        <v>6966</v>
      </c>
      <c r="E692" s="647" t="s">
        <v>3209</v>
      </c>
      <c r="F692" s="647">
        <v>6256</v>
      </c>
      <c r="G692" s="647" t="s">
        <v>6967</v>
      </c>
      <c r="H692" s="649"/>
      <c r="I692" s="649"/>
      <c r="J692" s="647"/>
      <c r="K692" s="647" t="s">
        <v>3926</v>
      </c>
      <c r="L692" s="647" t="s">
        <v>6968</v>
      </c>
      <c r="M692" s="647" t="s">
        <v>3826</v>
      </c>
      <c r="N692" s="648" t="e">
        <v>#N/A</v>
      </c>
    </row>
    <row r="693" spans="1:14" x14ac:dyDescent="0.35">
      <c r="A693" s="647">
        <v>5259</v>
      </c>
      <c r="B693" s="647" t="s">
        <v>6969</v>
      </c>
      <c r="C693" s="647" t="s">
        <v>6970</v>
      </c>
      <c r="D693" s="647" t="s">
        <v>3299</v>
      </c>
      <c r="E693" s="647" t="s">
        <v>3209</v>
      </c>
      <c r="F693" s="647" t="s">
        <v>6971</v>
      </c>
      <c r="G693" s="647" t="s">
        <v>6972</v>
      </c>
      <c r="H693" s="647" t="s">
        <v>4688</v>
      </c>
      <c r="I693" s="647" t="s">
        <v>4279</v>
      </c>
      <c r="J693" s="647">
        <v>1502999</v>
      </c>
      <c r="K693" s="647" t="s">
        <v>3956</v>
      </c>
      <c r="L693" s="647" t="s">
        <v>6973</v>
      </c>
      <c r="M693" s="647" t="s">
        <v>3826</v>
      </c>
      <c r="N693" s="648">
        <v>40360</v>
      </c>
    </row>
    <row r="694" spans="1:14" x14ac:dyDescent="0.35">
      <c r="A694" s="647">
        <v>5260</v>
      </c>
      <c r="B694" s="647" t="s">
        <v>6974</v>
      </c>
      <c r="C694" s="647" t="s">
        <v>6975</v>
      </c>
      <c r="D694" s="647" t="s">
        <v>3301</v>
      </c>
      <c r="E694" s="647" t="s">
        <v>3209</v>
      </c>
      <c r="F694" s="647" t="s">
        <v>6976</v>
      </c>
      <c r="G694" s="647" t="s">
        <v>6977</v>
      </c>
      <c r="H694" s="649"/>
      <c r="I694" s="649"/>
      <c r="J694" s="647">
        <v>788306</v>
      </c>
      <c r="K694" s="647" t="s">
        <v>3956</v>
      </c>
      <c r="L694" s="647" t="s">
        <v>6978</v>
      </c>
      <c r="M694" s="647" t="s">
        <v>3826</v>
      </c>
      <c r="N694" s="648" t="e">
        <v>#N/A</v>
      </c>
    </row>
    <row r="695" spans="1:14" x14ac:dyDescent="0.35">
      <c r="A695" s="647">
        <v>5263</v>
      </c>
      <c r="B695" s="647" t="s">
        <v>6979</v>
      </c>
      <c r="C695" s="647" t="s">
        <v>6980</v>
      </c>
      <c r="D695" s="647" t="s">
        <v>6981</v>
      </c>
      <c r="E695" s="647" t="s">
        <v>3209</v>
      </c>
      <c r="F695" s="647" t="s">
        <v>6982</v>
      </c>
      <c r="G695" s="647" t="s">
        <v>6983</v>
      </c>
      <c r="H695" s="647" t="s">
        <v>4688</v>
      </c>
      <c r="I695" s="647" t="s">
        <v>3925</v>
      </c>
      <c r="J695" s="647"/>
      <c r="K695" s="647" t="s">
        <v>4164</v>
      </c>
      <c r="L695" s="647" t="s">
        <v>5642</v>
      </c>
      <c r="M695" s="647" t="s">
        <v>3826</v>
      </c>
      <c r="N695" s="648" t="e">
        <v>#N/A</v>
      </c>
    </row>
    <row r="696" spans="1:14" x14ac:dyDescent="0.35">
      <c r="A696" s="647">
        <v>5267</v>
      </c>
      <c r="B696" s="647" t="s">
        <v>6984</v>
      </c>
      <c r="C696" s="647" t="s">
        <v>6985</v>
      </c>
      <c r="D696" s="647" t="s">
        <v>3303</v>
      </c>
      <c r="E696" s="647" t="s">
        <v>3209</v>
      </c>
      <c r="F696" s="647">
        <v>95695</v>
      </c>
      <c r="G696" s="647" t="s">
        <v>6986</v>
      </c>
      <c r="H696" s="647" t="s">
        <v>4688</v>
      </c>
      <c r="I696" s="647" t="s">
        <v>3925</v>
      </c>
      <c r="J696" s="647">
        <v>8581363</v>
      </c>
      <c r="K696" s="647" t="s">
        <v>4385</v>
      </c>
      <c r="L696" s="647" t="s">
        <v>6987</v>
      </c>
      <c r="M696" s="647" t="s">
        <v>3826</v>
      </c>
      <c r="N696" s="648" t="e">
        <v>#N/A</v>
      </c>
    </row>
    <row r="697" spans="1:14" x14ac:dyDescent="0.35">
      <c r="A697" s="647">
        <v>5280</v>
      </c>
      <c r="B697" s="647" t="s">
        <v>6988</v>
      </c>
      <c r="C697" s="647" t="s">
        <v>6989</v>
      </c>
      <c r="D697" s="647" t="s">
        <v>3305</v>
      </c>
      <c r="E697" s="647" t="s">
        <v>3209</v>
      </c>
      <c r="F697" s="647">
        <v>4901</v>
      </c>
      <c r="G697" s="647" t="s">
        <v>6990</v>
      </c>
      <c r="H697" s="649"/>
      <c r="I697" s="647" t="s">
        <v>4264</v>
      </c>
      <c r="J697" s="647">
        <v>862360</v>
      </c>
      <c r="K697" s="647" t="s">
        <v>6991</v>
      </c>
      <c r="L697" s="647" t="s">
        <v>6992</v>
      </c>
      <c r="M697" s="647" t="s">
        <v>3826</v>
      </c>
      <c r="N697" s="648" t="e">
        <v>#N/A</v>
      </c>
    </row>
    <row r="698" spans="1:14" x14ac:dyDescent="0.35">
      <c r="A698" s="647">
        <v>5283</v>
      </c>
      <c r="B698" s="647" t="s">
        <v>6993</v>
      </c>
      <c r="C698" s="647" t="s">
        <v>6994</v>
      </c>
      <c r="D698" s="647" t="s">
        <v>3307</v>
      </c>
      <c r="E698" s="647" t="s">
        <v>3209</v>
      </c>
      <c r="F698" s="647" t="s">
        <v>6995</v>
      </c>
      <c r="G698" s="647" t="s">
        <v>6996</v>
      </c>
      <c r="H698" s="647" t="s">
        <v>4688</v>
      </c>
      <c r="I698" s="647" t="s">
        <v>4264</v>
      </c>
      <c r="J698" s="647">
        <v>416488</v>
      </c>
      <c r="K698" s="647" t="s">
        <v>4129</v>
      </c>
      <c r="L698" s="647" t="s">
        <v>6997</v>
      </c>
      <c r="M698" s="647" t="s">
        <v>4078</v>
      </c>
      <c r="N698" s="648">
        <v>40268</v>
      </c>
    </row>
    <row r="699" spans="1:14" x14ac:dyDescent="0.35">
      <c r="A699" s="647">
        <v>5287</v>
      </c>
      <c r="B699" s="647" t="s">
        <v>6998</v>
      </c>
      <c r="C699" s="647" t="s">
        <v>6999</v>
      </c>
      <c r="D699" s="647" t="s">
        <v>3309</v>
      </c>
      <c r="E699" s="647" t="s">
        <v>3310</v>
      </c>
      <c r="F699" s="647" t="s">
        <v>7000</v>
      </c>
      <c r="G699" s="647" t="s">
        <v>7001</v>
      </c>
      <c r="H699" s="647" t="s">
        <v>3994</v>
      </c>
      <c r="I699" s="647" t="s">
        <v>5257</v>
      </c>
      <c r="J699" s="647">
        <v>1369575</v>
      </c>
      <c r="K699" s="647" t="s">
        <v>4488</v>
      </c>
      <c r="L699" s="647" t="s">
        <v>7002</v>
      </c>
      <c r="M699" s="647" t="s">
        <v>3826</v>
      </c>
      <c r="N699" s="648">
        <v>40360</v>
      </c>
    </row>
    <row r="700" spans="1:14" x14ac:dyDescent="0.35">
      <c r="A700" s="647">
        <v>5291</v>
      </c>
      <c r="B700" s="647" t="s">
        <v>7003</v>
      </c>
      <c r="C700" s="647" t="s">
        <v>7004</v>
      </c>
      <c r="D700" s="647" t="s">
        <v>3312</v>
      </c>
      <c r="E700" s="647" t="s">
        <v>3310</v>
      </c>
      <c r="F700" s="647">
        <v>74003</v>
      </c>
      <c r="G700" s="647" t="s">
        <v>7005</v>
      </c>
      <c r="H700" s="647" t="s">
        <v>3994</v>
      </c>
      <c r="I700" s="647" t="s">
        <v>3995</v>
      </c>
      <c r="J700" s="647">
        <v>782378</v>
      </c>
      <c r="K700" s="647" t="s">
        <v>7006</v>
      </c>
      <c r="L700" s="647" t="s">
        <v>7007</v>
      </c>
      <c r="M700" s="647" t="s">
        <v>3826</v>
      </c>
      <c r="N700" s="648" t="e">
        <v>#N/A</v>
      </c>
    </row>
    <row r="701" spans="1:14" x14ac:dyDescent="0.35">
      <c r="A701" s="647">
        <v>5297</v>
      </c>
      <c r="B701" s="647" t="s">
        <v>7008</v>
      </c>
      <c r="C701" s="647" t="s">
        <v>7009</v>
      </c>
      <c r="D701" s="647" t="s">
        <v>3314</v>
      </c>
      <c r="E701" s="647" t="s">
        <v>3310</v>
      </c>
      <c r="F701" s="647">
        <v>73701</v>
      </c>
      <c r="G701" s="647" t="s">
        <v>7010</v>
      </c>
      <c r="H701" s="647" t="s">
        <v>3931</v>
      </c>
      <c r="I701" s="647" t="s">
        <v>5257</v>
      </c>
      <c r="J701" s="647">
        <v>1784227</v>
      </c>
      <c r="K701" s="647" t="s">
        <v>4385</v>
      </c>
      <c r="L701" s="647" t="s">
        <v>7011</v>
      </c>
      <c r="M701" s="647" t="s">
        <v>3826</v>
      </c>
      <c r="N701" s="648">
        <v>40333</v>
      </c>
    </row>
    <row r="702" spans="1:14" x14ac:dyDescent="0.35">
      <c r="A702" s="647">
        <v>5299</v>
      </c>
      <c r="B702" s="647" t="s">
        <v>7012</v>
      </c>
      <c r="C702" s="647" t="s">
        <v>7013</v>
      </c>
      <c r="D702" s="647" t="s">
        <v>3316</v>
      </c>
      <c r="E702" s="647" t="s">
        <v>3310</v>
      </c>
      <c r="F702" s="647">
        <v>73942</v>
      </c>
      <c r="G702" s="647" t="s">
        <v>7014</v>
      </c>
      <c r="H702" s="647" t="s">
        <v>3994</v>
      </c>
      <c r="I702" s="647" t="s">
        <v>5257</v>
      </c>
      <c r="J702" s="647">
        <v>440245</v>
      </c>
      <c r="K702" s="647" t="s">
        <v>3830</v>
      </c>
      <c r="L702" s="647" t="s">
        <v>7015</v>
      </c>
      <c r="M702" s="647" t="s">
        <v>3826</v>
      </c>
      <c r="N702" s="648">
        <v>40237</v>
      </c>
    </row>
    <row r="703" spans="1:14" x14ac:dyDescent="0.35">
      <c r="A703" s="647">
        <v>5300</v>
      </c>
      <c r="B703" s="647" t="s">
        <v>7016</v>
      </c>
      <c r="C703" s="647" t="s">
        <v>7017</v>
      </c>
      <c r="D703" s="647" t="s">
        <v>7018</v>
      </c>
      <c r="E703" s="647" t="s">
        <v>3310</v>
      </c>
      <c r="F703" s="647" t="s">
        <v>7019</v>
      </c>
      <c r="G703" s="647" t="s">
        <v>7020</v>
      </c>
      <c r="H703" s="649"/>
      <c r="I703" s="649"/>
      <c r="J703" s="647"/>
      <c r="K703" s="647" t="s">
        <v>5019</v>
      </c>
      <c r="L703" s="647" t="s">
        <v>7021</v>
      </c>
      <c r="M703" s="647" t="s">
        <v>3826</v>
      </c>
      <c r="N703" s="648" t="e">
        <v>#N/A</v>
      </c>
    </row>
    <row r="704" spans="1:14" x14ac:dyDescent="0.35">
      <c r="A704" s="647">
        <v>5301</v>
      </c>
      <c r="B704" s="647" t="s">
        <v>7022</v>
      </c>
      <c r="C704" s="647" t="s">
        <v>7023</v>
      </c>
      <c r="D704" s="647" t="s">
        <v>3318</v>
      </c>
      <c r="E704" s="647" t="s">
        <v>3310</v>
      </c>
      <c r="F704" s="647">
        <v>73501</v>
      </c>
      <c r="G704" s="647" t="s">
        <v>7024</v>
      </c>
      <c r="H704" s="647" t="s">
        <v>3994</v>
      </c>
      <c r="I704" s="647" t="s">
        <v>5257</v>
      </c>
      <c r="J704" s="647">
        <v>1520309</v>
      </c>
      <c r="K704" s="647" t="s">
        <v>7025</v>
      </c>
      <c r="L704" s="647" t="s">
        <v>7026</v>
      </c>
      <c r="M704" s="647" t="s">
        <v>3826</v>
      </c>
      <c r="N704" s="648">
        <v>40360</v>
      </c>
    </row>
    <row r="705" spans="1:14" x14ac:dyDescent="0.35">
      <c r="A705" s="647">
        <v>5310</v>
      </c>
      <c r="B705" s="647" t="s">
        <v>7027</v>
      </c>
      <c r="C705" s="647" t="s">
        <v>7028</v>
      </c>
      <c r="D705" s="647" t="s">
        <v>3320</v>
      </c>
      <c r="E705" s="647" t="s">
        <v>3310</v>
      </c>
      <c r="F705" s="647">
        <v>74008</v>
      </c>
      <c r="G705" s="647" t="s">
        <v>7029</v>
      </c>
      <c r="H705" s="649"/>
      <c r="I705" s="649"/>
      <c r="J705" s="647">
        <v>1409558</v>
      </c>
      <c r="K705" s="647" t="s">
        <v>7030</v>
      </c>
      <c r="L705" s="647" t="s">
        <v>7031</v>
      </c>
      <c r="M705" s="647" t="s">
        <v>3826</v>
      </c>
      <c r="N705" s="648" t="e">
        <v>#N/A</v>
      </c>
    </row>
    <row r="706" spans="1:14" x14ac:dyDescent="0.35">
      <c r="A706" s="647">
        <v>5311</v>
      </c>
      <c r="B706" s="647" t="s">
        <v>6582</v>
      </c>
      <c r="C706" s="647" t="s">
        <v>7032</v>
      </c>
      <c r="D706" s="647" t="s">
        <v>3321</v>
      </c>
      <c r="E706" s="647" t="s">
        <v>3310</v>
      </c>
      <c r="F706" s="647" t="s">
        <v>7033</v>
      </c>
      <c r="G706" s="647" t="s">
        <v>7034</v>
      </c>
      <c r="H706" s="647" t="s">
        <v>3931</v>
      </c>
      <c r="I706" s="647" t="s">
        <v>5257</v>
      </c>
      <c r="J706" s="647">
        <v>3614920</v>
      </c>
      <c r="K706" s="647" t="s">
        <v>5672</v>
      </c>
      <c r="L706" s="647" t="s">
        <v>7035</v>
      </c>
      <c r="M706" s="647" t="s">
        <v>3826</v>
      </c>
      <c r="N706" s="648">
        <v>40179</v>
      </c>
    </row>
    <row r="707" spans="1:14" x14ac:dyDescent="0.35">
      <c r="A707" s="647">
        <v>5313</v>
      </c>
      <c r="B707" s="647" t="s">
        <v>7036</v>
      </c>
      <c r="C707" s="647" t="s">
        <v>7037</v>
      </c>
      <c r="D707" s="647" t="s">
        <v>3323</v>
      </c>
      <c r="E707" s="647" t="s">
        <v>3310</v>
      </c>
      <c r="F707" s="647">
        <v>73102</v>
      </c>
      <c r="G707" s="647" t="s">
        <v>7038</v>
      </c>
      <c r="H707" s="647" t="s">
        <v>3994</v>
      </c>
      <c r="I707" s="647" t="s">
        <v>5257</v>
      </c>
      <c r="J707" s="647">
        <v>17590688</v>
      </c>
      <c r="K707" s="647" t="s">
        <v>4044</v>
      </c>
      <c r="L707" s="647" t="s">
        <v>4584</v>
      </c>
      <c r="M707" s="647" t="s">
        <v>3836</v>
      </c>
      <c r="N707" s="648">
        <v>40360</v>
      </c>
    </row>
    <row r="708" spans="1:14" x14ac:dyDescent="0.35">
      <c r="A708" s="647">
        <v>5348</v>
      </c>
      <c r="B708" s="647" t="s">
        <v>7039</v>
      </c>
      <c r="C708" s="647" t="s">
        <v>7040</v>
      </c>
      <c r="D708" s="647" t="s">
        <v>3325</v>
      </c>
      <c r="E708" s="647" t="s">
        <v>3310</v>
      </c>
      <c r="F708" s="647" t="s">
        <v>7041</v>
      </c>
      <c r="G708" s="647" t="s">
        <v>7042</v>
      </c>
      <c r="H708" s="647" t="s">
        <v>3931</v>
      </c>
      <c r="I708" s="647" t="s">
        <v>5257</v>
      </c>
      <c r="J708" s="647">
        <v>347246</v>
      </c>
      <c r="K708" s="647" t="s">
        <v>3956</v>
      </c>
      <c r="L708" s="647" t="s">
        <v>3897</v>
      </c>
      <c r="M708" s="647" t="s">
        <v>7043</v>
      </c>
      <c r="N708" s="648">
        <v>40178</v>
      </c>
    </row>
    <row r="709" spans="1:14" x14ac:dyDescent="0.35">
      <c r="A709" s="647">
        <v>5349</v>
      </c>
      <c r="B709" s="647" t="s">
        <v>7044</v>
      </c>
      <c r="C709" s="647" t="s">
        <v>7045</v>
      </c>
      <c r="D709" s="647" t="s">
        <v>3327</v>
      </c>
      <c r="E709" s="647" t="s">
        <v>3310</v>
      </c>
      <c r="F709" s="647" t="s">
        <v>7046</v>
      </c>
      <c r="G709" s="647" t="s">
        <v>7047</v>
      </c>
      <c r="H709" s="647" t="s">
        <v>3931</v>
      </c>
      <c r="I709" s="647" t="s">
        <v>5257</v>
      </c>
      <c r="J709" s="647">
        <v>748388</v>
      </c>
      <c r="K709" s="647" t="s">
        <v>4699</v>
      </c>
      <c r="L709" s="647" t="s">
        <v>7048</v>
      </c>
      <c r="M709" s="647" t="s">
        <v>3826</v>
      </c>
      <c r="N709" s="648">
        <v>40193</v>
      </c>
    </row>
    <row r="710" spans="1:14" x14ac:dyDescent="0.35">
      <c r="A710" s="647">
        <v>5351</v>
      </c>
      <c r="B710" s="647" t="s">
        <v>7049</v>
      </c>
      <c r="C710" s="647" t="s">
        <v>7050</v>
      </c>
      <c r="D710" s="647" t="s">
        <v>3329</v>
      </c>
      <c r="E710" s="647" t="s">
        <v>3310</v>
      </c>
      <c r="F710" s="647" t="s">
        <v>7051</v>
      </c>
      <c r="G710" s="647" t="s">
        <v>7052</v>
      </c>
      <c r="H710" s="647" t="s">
        <v>3931</v>
      </c>
      <c r="I710" s="647" t="s">
        <v>5257</v>
      </c>
      <c r="J710" s="647">
        <v>393664</v>
      </c>
      <c r="K710" s="647" t="s">
        <v>5164</v>
      </c>
      <c r="L710" s="647" t="s">
        <v>6606</v>
      </c>
      <c r="M710" s="647" t="s">
        <v>3826</v>
      </c>
      <c r="N710" s="648">
        <v>40392</v>
      </c>
    </row>
    <row r="711" spans="1:14" x14ac:dyDescent="0.35">
      <c r="A711" s="647">
        <v>5353</v>
      </c>
      <c r="B711" s="647" t="s">
        <v>7053</v>
      </c>
      <c r="C711" s="647" t="s">
        <v>7054</v>
      </c>
      <c r="D711" s="647" t="s">
        <v>3331</v>
      </c>
      <c r="E711" s="647" t="s">
        <v>3310</v>
      </c>
      <c r="F711" s="647">
        <v>74804</v>
      </c>
      <c r="G711" s="647" t="s">
        <v>7055</v>
      </c>
      <c r="H711" s="647" t="s">
        <v>3931</v>
      </c>
      <c r="I711" s="647" t="s">
        <v>5257</v>
      </c>
      <c r="J711" s="647">
        <v>957304</v>
      </c>
      <c r="K711" s="647" t="s">
        <v>7056</v>
      </c>
      <c r="L711" s="647" t="s">
        <v>7057</v>
      </c>
      <c r="M711" s="647" t="s">
        <v>3826</v>
      </c>
      <c r="N711" s="648">
        <v>40238</v>
      </c>
    </row>
    <row r="712" spans="1:14" x14ac:dyDescent="0.35">
      <c r="A712" s="647">
        <v>5357</v>
      </c>
      <c r="B712" s="647" t="s">
        <v>7058</v>
      </c>
      <c r="C712" s="647" t="s">
        <v>7059</v>
      </c>
      <c r="D712" s="647" t="s">
        <v>3333</v>
      </c>
      <c r="E712" s="647" t="s">
        <v>3310</v>
      </c>
      <c r="F712" s="647">
        <v>29483</v>
      </c>
      <c r="G712" s="647" t="s">
        <v>7060</v>
      </c>
      <c r="H712" s="647" t="s">
        <v>3994</v>
      </c>
      <c r="I712" s="649"/>
      <c r="J712" s="647">
        <v>836516</v>
      </c>
      <c r="K712" s="647" t="s">
        <v>7061</v>
      </c>
      <c r="L712" s="647" t="s">
        <v>7062</v>
      </c>
      <c r="M712" s="647" t="s">
        <v>4078</v>
      </c>
      <c r="N712" s="648" t="e">
        <v>#N/A</v>
      </c>
    </row>
    <row r="713" spans="1:14" x14ac:dyDescent="0.35">
      <c r="A713" s="647">
        <v>5361</v>
      </c>
      <c r="B713" s="647" t="s">
        <v>7063</v>
      </c>
      <c r="C713" s="647" t="s">
        <v>7064</v>
      </c>
      <c r="D713" s="647" t="s">
        <v>3335</v>
      </c>
      <c r="E713" s="647" t="s">
        <v>3310</v>
      </c>
      <c r="F713" s="647">
        <v>74105</v>
      </c>
      <c r="G713" s="647" t="s">
        <v>7065</v>
      </c>
      <c r="H713" s="647" t="s">
        <v>3994</v>
      </c>
      <c r="I713" s="647" t="s">
        <v>5257</v>
      </c>
      <c r="J713" s="647">
        <v>8855033</v>
      </c>
      <c r="K713" s="647" t="s">
        <v>4782</v>
      </c>
      <c r="L713" s="647" t="s">
        <v>7066</v>
      </c>
      <c r="M713" s="647" t="s">
        <v>3826</v>
      </c>
      <c r="N713" s="648">
        <v>40299</v>
      </c>
    </row>
    <row r="714" spans="1:14" x14ac:dyDescent="0.35">
      <c r="A714" s="647">
        <v>5387</v>
      </c>
      <c r="B714" s="647" t="s">
        <v>7067</v>
      </c>
      <c r="C714" s="647" t="s">
        <v>7068</v>
      </c>
      <c r="D714" s="647" t="s">
        <v>3337</v>
      </c>
      <c r="E714" s="647" t="s">
        <v>3310</v>
      </c>
      <c r="F714" s="647">
        <v>73096</v>
      </c>
      <c r="G714" s="647" t="s">
        <v>7069</v>
      </c>
      <c r="H714" s="647" t="s">
        <v>3931</v>
      </c>
      <c r="I714" s="647" t="s">
        <v>5257</v>
      </c>
      <c r="J714" s="647">
        <v>1088760</v>
      </c>
      <c r="K714" s="647" t="s">
        <v>7070</v>
      </c>
      <c r="L714" s="647" t="s">
        <v>7071</v>
      </c>
      <c r="M714" s="647" t="s">
        <v>4078</v>
      </c>
      <c r="N714" s="648">
        <v>40391</v>
      </c>
    </row>
    <row r="715" spans="1:14" x14ac:dyDescent="0.35">
      <c r="A715" s="647">
        <v>5389</v>
      </c>
      <c r="B715" s="647" t="s">
        <v>7072</v>
      </c>
      <c r="C715" s="647" t="s">
        <v>7073</v>
      </c>
      <c r="D715" s="647" t="s">
        <v>2605</v>
      </c>
      <c r="E715" s="647" t="s">
        <v>3339</v>
      </c>
      <c r="F715" s="647">
        <v>97520</v>
      </c>
      <c r="G715" s="647" t="s">
        <v>7074</v>
      </c>
      <c r="H715" s="647" t="s">
        <v>3917</v>
      </c>
      <c r="I715" s="647" t="s">
        <v>5257</v>
      </c>
      <c r="J715" s="647">
        <v>3576680</v>
      </c>
      <c r="K715" s="647" t="s">
        <v>4961</v>
      </c>
      <c r="L715" s="647" t="s">
        <v>6735</v>
      </c>
      <c r="M715" s="647" t="s">
        <v>4078</v>
      </c>
      <c r="N715" s="648">
        <v>40360</v>
      </c>
    </row>
    <row r="716" spans="1:14" x14ac:dyDescent="0.35">
      <c r="A716" s="647">
        <v>5395</v>
      </c>
      <c r="B716" s="647" t="s">
        <v>7075</v>
      </c>
      <c r="C716" s="647" t="s">
        <v>7076</v>
      </c>
      <c r="D716" s="647" t="s">
        <v>3341</v>
      </c>
      <c r="E716" s="647" t="s">
        <v>3339</v>
      </c>
      <c r="F716" s="647" t="s">
        <v>7077</v>
      </c>
      <c r="G716" s="647" t="s">
        <v>7078</v>
      </c>
      <c r="H716" s="647" t="s">
        <v>3917</v>
      </c>
      <c r="I716" s="647" t="s">
        <v>5257</v>
      </c>
      <c r="J716" s="647">
        <v>524970</v>
      </c>
      <c r="K716" s="647" t="s">
        <v>4628</v>
      </c>
      <c r="L716" s="647" t="s">
        <v>7079</v>
      </c>
      <c r="M716" s="647" t="s">
        <v>3826</v>
      </c>
      <c r="N716" s="648">
        <v>40360</v>
      </c>
    </row>
    <row r="717" spans="1:14" x14ac:dyDescent="0.35">
      <c r="A717" s="647">
        <v>5405</v>
      </c>
      <c r="B717" s="647" t="s">
        <v>7080</v>
      </c>
      <c r="C717" s="647" t="s">
        <v>7081</v>
      </c>
      <c r="D717" s="647" t="s">
        <v>3343</v>
      </c>
      <c r="E717" s="647" t="s">
        <v>3339</v>
      </c>
      <c r="F717" s="647" t="s">
        <v>7082</v>
      </c>
      <c r="G717" s="647" t="s">
        <v>7083</v>
      </c>
      <c r="H717" s="647" t="s">
        <v>3917</v>
      </c>
      <c r="I717" s="649"/>
      <c r="J717" s="647">
        <v>3276221</v>
      </c>
      <c r="K717" s="647" t="s">
        <v>4503</v>
      </c>
      <c r="L717" s="647" t="s">
        <v>4695</v>
      </c>
      <c r="M717" s="647" t="s">
        <v>4078</v>
      </c>
      <c r="N717" s="648" t="e">
        <v>#N/A</v>
      </c>
    </row>
    <row r="718" spans="1:14" x14ac:dyDescent="0.35">
      <c r="A718" s="647">
        <v>5411</v>
      </c>
      <c r="B718" s="647" t="s">
        <v>7084</v>
      </c>
      <c r="C718" s="647" t="s">
        <v>7085</v>
      </c>
      <c r="D718" s="647" t="s">
        <v>3345</v>
      </c>
      <c r="E718" s="647" t="s">
        <v>3339</v>
      </c>
      <c r="F718" s="647">
        <v>97527</v>
      </c>
      <c r="G718" s="647" t="s">
        <v>7086</v>
      </c>
      <c r="H718" s="647" t="s">
        <v>3917</v>
      </c>
      <c r="I718" s="647" t="s">
        <v>5257</v>
      </c>
      <c r="J718" s="647">
        <v>2390321</v>
      </c>
      <c r="K718" s="647" t="s">
        <v>4280</v>
      </c>
      <c r="L718" s="647" t="s">
        <v>5039</v>
      </c>
      <c r="M718" s="647" t="s">
        <v>3892</v>
      </c>
      <c r="N718" s="648">
        <v>40360</v>
      </c>
    </row>
    <row r="719" spans="1:14" x14ac:dyDescent="0.35">
      <c r="A719" s="647">
        <v>5413</v>
      </c>
      <c r="B719" s="647" t="s">
        <v>7087</v>
      </c>
      <c r="C719" s="647" t="s">
        <v>7088</v>
      </c>
      <c r="D719" s="647" t="s">
        <v>3347</v>
      </c>
      <c r="E719" s="647" t="s">
        <v>3339</v>
      </c>
      <c r="F719" s="647">
        <v>97603</v>
      </c>
      <c r="G719" s="647" t="s">
        <v>7089</v>
      </c>
      <c r="H719" s="647" t="s">
        <v>3917</v>
      </c>
      <c r="I719" s="647" t="s">
        <v>5257</v>
      </c>
      <c r="J719" s="647">
        <v>1145808</v>
      </c>
      <c r="K719" s="647" t="s">
        <v>5301</v>
      </c>
      <c r="L719" s="647" t="s">
        <v>7090</v>
      </c>
      <c r="M719" s="647" t="s">
        <v>7091</v>
      </c>
      <c r="N719" s="648">
        <v>40303</v>
      </c>
    </row>
    <row r="720" spans="1:14" x14ac:dyDescent="0.35">
      <c r="A720" s="647">
        <v>5417</v>
      </c>
      <c r="B720" s="647" t="s">
        <v>7092</v>
      </c>
      <c r="C720" s="647" t="s">
        <v>7093</v>
      </c>
      <c r="D720" s="647" t="s">
        <v>3001</v>
      </c>
      <c r="E720" s="647" t="s">
        <v>3339</v>
      </c>
      <c r="F720" s="647">
        <v>97501</v>
      </c>
      <c r="G720" s="647" t="s">
        <v>7094</v>
      </c>
      <c r="H720" s="647" t="s">
        <v>3917</v>
      </c>
      <c r="I720" s="647" t="s">
        <v>5257</v>
      </c>
      <c r="J720" s="647">
        <v>2035028</v>
      </c>
      <c r="K720" s="647" t="s">
        <v>5019</v>
      </c>
      <c r="L720" s="647" t="s">
        <v>7095</v>
      </c>
      <c r="M720" s="647" t="s">
        <v>3826</v>
      </c>
      <c r="N720" s="648">
        <v>40179</v>
      </c>
    </row>
    <row r="721" spans="1:14" x14ac:dyDescent="0.35">
      <c r="A721" s="647">
        <v>5421</v>
      </c>
      <c r="B721" s="647" t="s">
        <v>7096</v>
      </c>
      <c r="C721" s="647" t="s">
        <v>7097</v>
      </c>
      <c r="D721" s="647" t="s">
        <v>2284</v>
      </c>
      <c r="E721" s="647" t="s">
        <v>3339</v>
      </c>
      <c r="F721" s="647">
        <v>97321</v>
      </c>
      <c r="G721" s="647" t="s">
        <v>7098</v>
      </c>
      <c r="H721" s="647" t="s">
        <v>3917</v>
      </c>
      <c r="I721" s="647" t="s">
        <v>5257</v>
      </c>
      <c r="J721" s="647">
        <v>1127862</v>
      </c>
      <c r="K721" s="647" t="s">
        <v>3835</v>
      </c>
      <c r="L721" s="647" t="s">
        <v>7099</v>
      </c>
      <c r="M721" s="647" t="s">
        <v>4078</v>
      </c>
      <c r="N721" s="648">
        <v>40148</v>
      </c>
    </row>
    <row r="722" spans="1:14" x14ac:dyDescent="0.35">
      <c r="A722" s="647">
        <v>5425</v>
      </c>
      <c r="B722" s="647" t="s">
        <v>7100</v>
      </c>
      <c r="C722" s="647" t="s">
        <v>7101</v>
      </c>
      <c r="D722" s="647" t="s">
        <v>2685</v>
      </c>
      <c r="E722" s="647" t="s">
        <v>3339</v>
      </c>
      <c r="F722" s="647" t="s">
        <v>7102</v>
      </c>
      <c r="G722" s="647" t="s">
        <v>7103</v>
      </c>
      <c r="H722" s="647" t="s">
        <v>3917</v>
      </c>
      <c r="I722" s="647" t="s">
        <v>5257</v>
      </c>
      <c r="J722" s="647">
        <v>23705589</v>
      </c>
      <c r="K722" s="647" t="s">
        <v>3885</v>
      </c>
      <c r="L722" s="647" t="s">
        <v>7104</v>
      </c>
      <c r="M722" s="647" t="s">
        <v>4078</v>
      </c>
      <c r="N722" s="648">
        <v>40360</v>
      </c>
    </row>
    <row r="723" spans="1:14" x14ac:dyDescent="0.35">
      <c r="A723" s="647">
        <v>5457</v>
      </c>
      <c r="B723" s="647" t="s">
        <v>7105</v>
      </c>
      <c r="C723" s="647" t="s">
        <v>7106</v>
      </c>
      <c r="D723" s="647" t="s">
        <v>3352</v>
      </c>
      <c r="E723" s="647" t="s">
        <v>3339</v>
      </c>
      <c r="F723" s="647">
        <v>97470</v>
      </c>
      <c r="G723" s="647" t="s">
        <v>7107</v>
      </c>
      <c r="H723" s="647" t="s">
        <v>3917</v>
      </c>
      <c r="I723" s="647" t="s">
        <v>5257</v>
      </c>
      <c r="J723" s="647">
        <v>2258959</v>
      </c>
      <c r="K723" s="647" t="s">
        <v>3885</v>
      </c>
      <c r="L723" s="647" t="s">
        <v>7108</v>
      </c>
      <c r="M723" s="647" t="s">
        <v>3826</v>
      </c>
      <c r="N723" s="648">
        <v>40422</v>
      </c>
    </row>
    <row r="724" spans="1:14" x14ac:dyDescent="0.35">
      <c r="A724" s="647">
        <v>5461</v>
      </c>
      <c r="B724" s="647" t="s">
        <v>7109</v>
      </c>
      <c r="C724" s="647" t="s">
        <v>7110</v>
      </c>
      <c r="D724" s="647" t="s">
        <v>2485</v>
      </c>
      <c r="E724" s="647" t="s">
        <v>3339</v>
      </c>
      <c r="F724" s="647" t="s">
        <v>7111</v>
      </c>
      <c r="G724" s="647" t="s">
        <v>7112</v>
      </c>
      <c r="H724" s="647" t="s">
        <v>3917</v>
      </c>
      <c r="I724" s="647" t="s">
        <v>5257</v>
      </c>
      <c r="J724" s="647">
        <v>5169197</v>
      </c>
      <c r="K724" s="647" t="s">
        <v>4067</v>
      </c>
      <c r="L724" s="647" t="s">
        <v>7113</v>
      </c>
      <c r="M724" s="647" t="s">
        <v>3826</v>
      </c>
      <c r="N724" s="648">
        <v>40239</v>
      </c>
    </row>
    <row r="725" spans="1:14" x14ac:dyDescent="0.35">
      <c r="A725" s="647">
        <v>5465</v>
      </c>
      <c r="B725" s="647" t="s">
        <v>7114</v>
      </c>
      <c r="C725" s="647" t="s">
        <v>7115</v>
      </c>
      <c r="D725" s="647" t="s">
        <v>3355</v>
      </c>
      <c r="E725" s="647" t="s">
        <v>3339</v>
      </c>
      <c r="F725" s="647">
        <v>97141</v>
      </c>
      <c r="G725" s="647" t="s">
        <v>7116</v>
      </c>
      <c r="H725" s="647" t="s">
        <v>3917</v>
      </c>
      <c r="I725" s="647" t="s">
        <v>5257</v>
      </c>
      <c r="J725" s="647">
        <v>965175</v>
      </c>
      <c r="K725" s="647" t="s">
        <v>4654</v>
      </c>
      <c r="L725" s="647" t="s">
        <v>7117</v>
      </c>
      <c r="M725" s="647" t="s">
        <v>3826</v>
      </c>
      <c r="N725" s="648">
        <v>40178</v>
      </c>
    </row>
    <row r="726" spans="1:14" x14ac:dyDescent="0.35">
      <c r="A726" s="647">
        <v>5478</v>
      </c>
      <c r="B726" s="647" t="s">
        <v>7118</v>
      </c>
      <c r="C726" s="647" t="s">
        <v>7119</v>
      </c>
      <c r="D726" s="647" t="s">
        <v>3357</v>
      </c>
      <c r="E726" s="647" t="s">
        <v>3358</v>
      </c>
      <c r="F726" s="647">
        <v>18901</v>
      </c>
      <c r="G726" s="647" t="s">
        <v>7120</v>
      </c>
      <c r="H726" s="647" t="s">
        <v>5315</v>
      </c>
      <c r="I726" s="647" t="s">
        <v>4279</v>
      </c>
      <c r="J726" s="647">
        <v>5473535</v>
      </c>
      <c r="K726" s="647" t="s">
        <v>5899</v>
      </c>
      <c r="L726" s="647" t="s">
        <v>4470</v>
      </c>
      <c r="M726" s="647" t="s">
        <v>3826</v>
      </c>
      <c r="N726" s="648">
        <v>40374</v>
      </c>
    </row>
    <row r="727" spans="1:14" x14ac:dyDescent="0.35">
      <c r="A727" s="647">
        <v>5485</v>
      </c>
      <c r="B727" s="647" t="s">
        <v>7121</v>
      </c>
      <c r="C727" s="647" t="s">
        <v>7122</v>
      </c>
      <c r="D727" s="647" t="s">
        <v>3360</v>
      </c>
      <c r="E727" s="647" t="s">
        <v>3358</v>
      </c>
      <c r="F727" s="647" t="s">
        <v>7123</v>
      </c>
      <c r="G727" s="647" t="s">
        <v>7124</v>
      </c>
      <c r="H727" s="649"/>
      <c r="I727" s="649"/>
      <c r="J727" s="647">
        <v>330796</v>
      </c>
      <c r="K727" s="647" t="s">
        <v>7125</v>
      </c>
      <c r="L727" s="647" t="s">
        <v>7126</v>
      </c>
      <c r="M727" s="647" t="s">
        <v>3826</v>
      </c>
      <c r="N727" s="648" t="e">
        <v>#N/A</v>
      </c>
    </row>
    <row r="728" spans="1:14" x14ac:dyDescent="0.35">
      <c r="A728" s="647">
        <v>5489</v>
      </c>
      <c r="B728" s="647" t="s">
        <v>7127</v>
      </c>
      <c r="C728" s="647" t="s">
        <v>7128</v>
      </c>
      <c r="D728" s="647" t="s">
        <v>3362</v>
      </c>
      <c r="E728" s="647" t="s">
        <v>3358</v>
      </c>
      <c r="F728" s="647" t="s">
        <v>7129</v>
      </c>
      <c r="G728" s="647" t="s">
        <v>7130</v>
      </c>
      <c r="H728" s="649"/>
      <c r="I728" s="649"/>
      <c r="J728" s="647">
        <v>1316070</v>
      </c>
      <c r="K728" s="647" t="s">
        <v>7131</v>
      </c>
      <c r="L728" s="647" t="s">
        <v>7132</v>
      </c>
      <c r="M728" s="647" t="s">
        <v>3826</v>
      </c>
      <c r="N728" s="648" t="e">
        <v>#N/A</v>
      </c>
    </row>
    <row r="729" spans="1:14" x14ac:dyDescent="0.35">
      <c r="A729" s="647">
        <v>5493</v>
      </c>
      <c r="B729" s="647" t="s">
        <v>7133</v>
      </c>
      <c r="C729" s="647" t="s">
        <v>7134</v>
      </c>
      <c r="D729" s="647" t="s">
        <v>3364</v>
      </c>
      <c r="E729" s="647" t="s">
        <v>3358</v>
      </c>
      <c r="F729" s="647">
        <v>54880</v>
      </c>
      <c r="G729" s="647" t="s">
        <v>7135</v>
      </c>
      <c r="H729" s="649"/>
      <c r="I729" s="649"/>
      <c r="J729" s="647">
        <v>919965</v>
      </c>
      <c r="K729" s="647" t="s">
        <v>4540</v>
      </c>
      <c r="L729" s="647" t="s">
        <v>7136</v>
      </c>
      <c r="M729" s="647" t="s">
        <v>3826</v>
      </c>
      <c r="N729" s="648" t="e">
        <v>#N/A</v>
      </c>
    </row>
    <row r="730" spans="1:14" x14ac:dyDescent="0.35">
      <c r="A730" s="647">
        <v>5501</v>
      </c>
      <c r="B730" s="647" t="s">
        <v>7137</v>
      </c>
      <c r="C730" s="647" t="s">
        <v>7138</v>
      </c>
      <c r="D730" s="647" t="s">
        <v>3366</v>
      </c>
      <c r="E730" s="647" t="s">
        <v>3358</v>
      </c>
      <c r="F730" s="647">
        <v>16823</v>
      </c>
      <c r="G730" s="647" t="s">
        <v>7139</v>
      </c>
      <c r="H730" s="647" t="s">
        <v>3917</v>
      </c>
      <c r="I730" s="647" t="s">
        <v>4264</v>
      </c>
      <c r="J730" s="647">
        <v>1699560</v>
      </c>
      <c r="K730" s="647" t="s">
        <v>4645</v>
      </c>
      <c r="L730" s="647" t="s">
        <v>7140</v>
      </c>
      <c r="M730" s="647" t="s">
        <v>3826</v>
      </c>
      <c r="N730" s="648">
        <v>40180</v>
      </c>
    </row>
    <row r="731" spans="1:14" x14ac:dyDescent="0.35">
      <c r="A731" s="647">
        <v>5505</v>
      </c>
      <c r="B731" s="647" t="s">
        <v>7141</v>
      </c>
      <c r="C731" s="647" t="s">
        <v>7142</v>
      </c>
      <c r="D731" s="647" t="s">
        <v>3368</v>
      </c>
      <c r="E731" s="647" t="s">
        <v>3358</v>
      </c>
      <c r="F731" s="647" t="s">
        <v>7143</v>
      </c>
      <c r="G731" s="647" t="s">
        <v>7144</v>
      </c>
      <c r="H731" s="647" t="s">
        <v>3822</v>
      </c>
      <c r="I731" s="647" t="s">
        <v>4279</v>
      </c>
      <c r="J731" s="647">
        <v>992753</v>
      </c>
      <c r="K731" s="647" t="s">
        <v>5190</v>
      </c>
      <c r="L731" s="647" t="s">
        <v>7145</v>
      </c>
      <c r="M731" s="647" t="s">
        <v>3826</v>
      </c>
      <c r="N731" s="648">
        <v>40229</v>
      </c>
    </row>
    <row r="732" spans="1:14" x14ac:dyDescent="0.35">
      <c r="A732" s="647">
        <v>5509</v>
      </c>
      <c r="B732" s="647" t="s">
        <v>7146</v>
      </c>
      <c r="C732" s="647" t="s">
        <v>7147</v>
      </c>
      <c r="D732" s="647" t="s">
        <v>3370</v>
      </c>
      <c r="E732" s="647" t="s">
        <v>3358</v>
      </c>
      <c r="F732" s="647" t="s">
        <v>7148</v>
      </c>
      <c r="G732" s="647" t="s">
        <v>7149</v>
      </c>
      <c r="H732" s="647" t="s">
        <v>3917</v>
      </c>
      <c r="I732" s="647" t="s">
        <v>4264</v>
      </c>
      <c r="J732" s="647">
        <v>2657632</v>
      </c>
      <c r="K732" s="647" t="s">
        <v>4563</v>
      </c>
      <c r="L732" s="647" t="s">
        <v>7150</v>
      </c>
      <c r="M732" s="647" t="s">
        <v>4078</v>
      </c>
      <c r="N732" s="648" t="e">
        <v>#N/A</v>
      </c>
    </row>
    <row r="733" spans="1:14" x14ac:dyDescent="0.35">
      <c r="A733" s="647">
        <v>5517</v>
      </c>
      <c r="B733" s="647" t="s">
        <v>7151</v>
      </c>
      <c r="C733" s="647" t="s">
        <v>7152</v>
      </c>
      <c r="D733" s="647" t="s">
        <v>3891</v>
      </c>
      <c r="E733" s="647" t="s">
        <v>3358</v>
      </c>
      <c r="F733" s="647" t="s">
        <v>7153</v>
      </c>
      <c r="G733" s="647" t="s">
        <v>7154</v>
      </c>
      <c r="H733" s="649"/>
      <c r="I733" s="649"/>
      <c r="J733" s="647"/>
      <c r="K733" s="647" t="s">
        <v>4124</v>
      </c>
      <c r="L733" s="647" t="s">
        <v>4855</v>
      </c>
      <c r="M733" s="647" t="s">
        <v>4078</v>
      </c>
      <c r="N733" s="648" t="e">
        <v>#N/A</v>
      </c>
    </row>
    <row r="734" spans="1:14" x14ac:dyDescent="0.35">
      <c r="A734" s="647">
        <v>5521</v>
      </c>
      <c r="B734" s="647" t="s">
        <v>7155</v>
      </c>
      <c r="C734" s="647" t="s">
        <v>7156</v>
      </c>
      <c r="D734" s="647" t="s">
        <v>3372</v>
      </c>
      <c r="E734" s="647" t="s">
        <v>3358</v>
      </c>
      <c r="F734" s="647" t="s">
        <v>7157</v>
      </c>
      <c r="G734" s="647" t="s">
        <v>7158</v>
      </c>
      <c r="H734" s="647" t="s">
        <v>3917</v>
      </c>
      <c r="I734" s="647" t="s">
        <v>4253</v>
      </c>
      <c r="J734" s="647">
        <v>642600</v>
      </c>
      <c r="K734" s="647" t="s">
        <v>3906</v>
      </c>
      <c r="L734" s="647" t="s">
        <v>7159</v>
      </c>
      <c r="M734" s="647" t="s">
        <v>4078</v>
      </c>
      <c r="N734" s="648">
        <v>40320</v>
      </c>
    </row>
    <row r="735" spans="1:14" x14ac:dyDescent="0.35">
      <c r="A735" s="647">
        <v>5525</v>
      </c>
      <c r="B735" s="647" t="s">
        <v>7160</v>
      </c>
      <c r="C735" s="647" t="s">
        <v>7161</v>
      </c>
      <c r="D735" s="647" t="s">
        <v>3374</v>
      </c>
      <c r="E735" s="647" t="s">
        <v>3358</v>
      </c>
      <c r="F735" s="647" t="s">
        <v>7162</v>
      </c>
      <c r="G735" s="647" t="s">
        <v>7163</v>
      </c>
      <c r="H735" s="647" t="s">
        <v>3917</v>
      </c>
      <c r="I735" s="647" t="s">
        <v>4264</v>
      </c>
      <c r="J735" s="647">
        <v>725820</v>
      </c>
      <c r="K735" s="647" t="s">
        <v>4259</v>
      </c>
      <c r="L735" s="647" t="s">
        <v>7164</v>
      </c>
      <c r="M735" s="647" t="s">
        <v>4078</v>
      </c>
      <c r="N735" s="648">
        <v>40313</v>
      </c>
    </row>
    <row r="736" spans="1:14" x14ac:dyDescent="0.35">
      <c r="A736" s="647">
        <v>5529</v>
      </c>
      <c r="B736" s="647" t="s">
        <v>7165</v>
      </c>
      <c r="C736" s="647" t="s">
        <v>7166</v>
      </c>
      <c r="D736" s="647" t="s">
        <v>3376</v>
      </c>
      <c r="E736" s="647" t="s">
        <v>3358</v>
      </c>
      <c r="F736" s="647" t="s">
        <v>7167</v>
      </c>
      <c r="G736" s="647" t="s">
        <v>7168</v>
      </c>
      <c r="H736" s="647" t="s">
        <v>5315</v>
      </c>
      <c r="I736" s="647" t="s">
        <v>4083</v>
      </c>
      <c r="J736" s="647">
        <v>6563948</v>
      </c>
      <c r="K736" s="647" t="s">
        <v>3918</v>
      </c>
      <c r="L736" s="647" t="s">
        <v>5081</v>
      </c>
      <c r="M736" s="647" t="s">
        <v>3836</v>
      </c>
      <c r="N736" s="648" t="e">
        <v>#N/A</v>
      </c>
    </row>
    <row r="737" spans="1:14" x14ac:dyDescent="0.35">
      <c r="A737" s="647">
        <v>5533</v>
      </c>
      <c r="B737" s="647" t="s">
        <v>7169</v>
      </c>
      <c r="C737" s="647" t="s">
        <v>7170</v>
      </c>
      <c r="D737" s="647" t="s">
        <v>3378</v>
      </c>
      <c r="E737" s="647" t="s">
        <v>3358</v>
      </c>
      <c r="F737" s="647" t="s">
        <v>7171</v>
      </c>
      <c r="G737" s="647" t="s">
        <v>7172</v>
      </c>
      <c r="H737" s="649"/>
      <c r="I737" s="649"/>
      <c r="J737" s="647">
        <v>786644</v>
      </c>
      <c r="K737" s="647" t="s">
        <v>5301</v>
      </c>
      <c r="L737" s="647" t="s">
        <v>7173</v>
      </c>
      <c r="M737" s="647" t="s">
        <v>3826</v>
      </c>
      <c r="N737" s="648" t="e">
        <v>#N/A</v>
      </c>
    </row>
    <row r="738" spans="1:14" x14ac:dyDescent="0.35">
      <c r="A738" s="647">
        <v>5534</v>
      </c>
      <c r="B738" s="647" t="s">
        <v>7174</v>
      </c>
      <c r="C738" s="647" t="s">
        <v>7175</v>
      </c>
      <c r="D738" s="647" t="s">
        <v>3380</v>
      </c>
      <c r="E738" s="647" t="s">
        <v>3358</v>
      </c>
      <c r="F738" s="647">
        <v>18431</v>
      </c>
      <c r="G738" s="647" t="s">
        <v>7176</v>
      </c>
      <c r="H738" s="647" t="s">
        <v>3917</v>
      </c>
      <c r="I738" s="647" t="s">
        <v>4264</v>
      </c>
      <c r="J738" s="647">
        <v>349772</v>
      </c>
      <c r="K738" s="647" t="s">
        <v>3906</v>
      </c>
      <c r="L738" s="647" t="s">
        <v>7177</v>
      </c>
      <c r="M738" s="647" t="s">
        <v>3826</v>
      </c>
      <c r="N738" s="648">
        <v>40458</v>
      </c>
    </row>
    <row r="739" spans="1:14" x14ac:dyDescent="0.35">
      <c r="A739" s="647">
        <v>5545</v>
      </c>
      <c r="B739" s="647" t="s">
        <v>7178</v>
      </c>
      <c r="C739" s="647" t="s">
        <v>7179</v>
      </c>
      <c r="D739" s="647" t="s">
        <v>3382</v>
      </c>
      <c r="E739" s="647" t="s">
        <v>3358</v>
      </c>
      <c r="F739" s="647" t="s">
        <v>7180</v>
      </c>
      <c r="G739" s="647" t="s">
        <v>7181</v>
      </c>
      <c r="H739" s="649"/>
      <c r="I739" s="649"/>
      <c r="J739" s="647">
        <v>2788168</v>
      </c>
      <c r="K739" s="647" t="s">
        <v>7182</v>
      </c>
      <c r="L739" s="647" t="s">
        <v>7183</v>
      </c>
      <c r="M739" s="647" t="s">
        <v>3826</v>
      </c>
      <c r="N739" s="648" t="e">
        <v>#N/A</v>
      </c>
    </row>
    <row r="740" spans="1:14" x14ac:dyDescent="0.35">
      <c r="A740" s="647">
        <v>5549</v>
      </c>
      <c r="B740" s="647" t="s">
        <v>7184</v>
      </c>
      <c r="C740" s="647" t="s">
        <v>7185</v>
      </c>
      <c r="D740" s="647" t="s">
        <v>3384</v>
      </c>
      <c r="E740" s="647" t="s">
        <v>3358</v>
      </c>
      <c r="F740" s="647" t="s">
        <v>7186</v>
      </c>
      <c r="G740" s="647" t="s">
        <v>7187</v>
      </c>
      <c r="H740" s="649"/>
      <c r="I740" s="649"/>
      <c r="J740" s="647">
        <v>2001381</v>
      </c>
      <c r="K740" s="647" t="s">
        <v>4164</v>
      </c>
      <c r="L740" s="647" t="s">
        <v>7188</v>
      </c>
      <c r="M740" s="647" t="s">
        <v>3826</v>
      </c>
      <c r="N740" s="648" t="e">
        <v>#N/A</v>
      </c>
    </row>
    <row r="741" spans="1:14" x14ac:dyDescent="0.35">
      <c r="A741" s="647">
        <v>5561</v>
      </c>
      <c r="B741" s="647" t="s">
        <v>7189</v>
      </c>
      <c r="C741" s="647" t="s">
        <v>7190</v>
      </c>
      <c r="D741" s="647" t="s">
        <v>3386</v>
      </c>
      <c r="E741" s="647" t="s">
        <v>3358</v>
      </c>
      <c r="F741" s="647" t="s">
        <v>7191</v>
      </c>
      <c r="G741" s="647" t="s">
        <v>7192</v>
      </c>
      <c r="H741" s="647" t="s">
        <v>3917</v>
      </c>
      <c r="I741" s="647" t="s">
        <v>4264</v>
      </c>
      <c r="J741" s="647">
        <v>762282</v>
      </c>
      <c r="K741" s="647" t="s">
        <v>6374</v>
      </c>
      <c r="L741" s="647" t="s">
        <v>7193</v>
      </c>
      <c r="M741" s="647" t="s">
        <v>4078</v>
      </c>
      <c r="N741" s="648">
        <v>40283</v>
      </c>
    </row>
    <row r="742" spans="1:14" x14ac:dyDescent="0.35">
      <c r="A742" s="647">
        <v>5563</v>
      </c>
      <c r="B742" s="647" t="s">
        <v>7194</v>
      </c>
      <c r="C742" s="647" t="s">
        <v>7195</v>
      </c>
      <c r="D742" s="647" t="s">
        <v>3388</v>
      </c>
      <c r="E742" s="647" t="s">
        <v>3358</v>
      </c>
      <c r="F742" s="647" t="s">
        <v>7196</v>
      </c>
      <c r="G742" s="647" t="s">
        <v>7197</v>
      </c>
      <c r="H742" s="647" t="s">
        <v>5315</v>
      </c>
      <c r="I742" s="647" t="s">
        <v>5565</v>
      </c>
      <c r="J742" s="647">
        <v>374072</v>
      </c>
      <c r="K742" s="647" t="s">
        <v>4288</v>
      </c>
      <c r="L742" s="647" t="s">
        <v>7198</v>
      </c>
      <c r="M742" s="647" t="s">
        <v>3826</v>
      </c>
      <c r="N742" s="648" t="e">
        <v>#N/A</v>
      </c>
    </row>
    <row r="743" spans="1:14" x14ac:dyDescent="0.35">
      <c r="A743" s="647">
        <v>5565</v>
      </c>
      <c r="B743" s="647" t="s">
        <v>7199</v>
      </c>
      <c r="C743" s="647" t="s">
        <v>7200</v>
      </c>
      <c r="D743" s="647" t="s">
        <v>3390</v>
      </c>
      <c r="E743" s="647" t="s">
        <v>3358</v>
      </c>
      <c r="F743" s="647">
        <v>19320</v>
      </c>
      <c r="G743" s="647" t="s">
        <v>7201</v>
      </c>
      <c r="H743" s="647" t="s">
        <v>3917</v>
      </c>
      <c r="I743" s="647" t="s">
        <v>4253</v>
      </c>
      <c r="J743" s="647">
        <v>24303188</v>
      </c>
      <c r="K743" s="647" t="s">
        <v>4628</v>
      </c>
      <c r="L743" s="647" t="s">
        <v>7202</v>
      </c>
      <c r="M743" s="647" t="s">
        <v>3826</v>
      </c>
      <c r="N743" s="648">
        <v>40360</v>
      </c>
    </row>
    <row r="744" spans="1:14" x14ac:dyDescent="0.35">
      <c r="A744" s="647">
        <v>5575</v>
      </c>
      <c r="B744" s="647" t="s">
        <v>7203</v>
      </c>
      <c r="C744" s="647" t="s">
        <v>7204</v>
      </c>
      <c r="D744" s="647" t="s">
        <v>3392</v>
      </c>
      <c r="E744" s="647" t="s">
        <v>3358</v>
      </c>
      <c r="F744" s="647" t="s">
        <v>7205</v>
      </c>
      <c r="G744" s="647" t="s">
        <v>7206</v>
      </c>
      <c r="H744" s="649"/>
      <c r="I744" s="649"/>
      <c r="J744" s="647">
        <v>560127</v>
      </c>
      <c r="K744" s="647" t="s">
        <v>5301</v>
      </c>
      <c r="L744" s="647" t="s">
        <v>7207</v>
      </c>
      <c r="M744" s="647" t="s">
        <v>3826</v>
      </c>
      <c r="N744" s="648" t="e">
        <v>#N/A</v>
      </c>
    </row>
    <row r="745" spans="1:14" x14ac:dyDescent="0.35">
      <c r="A745" s="647">
        <v>5583</v>
      </c>
      <c r="B745" s="647" t="s">
        <v>7208</v>
      </c>
      <c r="C745" s="647" t="s">
        <v>7209</v>
      </c>
      <c r="D745" s="647" t="s">
        <v>3394</v>
      </c>
      <c r="E745" s="647" t="s">
        <v>3358</v>
      </c>
      <c r="F745" s="647" t="s">
        <v>7210</v>
      </c>
      <c r="G745" s="647" t="s">
        <v>7211</v>
      </c>
      <c r="H745" s="649"/>
      <c r="I745" s="649"/>
      <c r="J745" s="647">
        <v>1182996</v>
      </c>
      <c r="K745" s="647" t="s">
        <v>4777</v>
      </c>
      <c r="L745" s="647" t="s">
        <v>7212</v>
      </c>
      <c r="M745" s="647" t="s">
        <v>3826</v>
      </c>
      <c r="N745" s="648" t="e">
        <v>#N/A</v>
      </c>
    </row>
    <row r="746" spans="1:14" x14ac:dyDescent="0.35">
      <c r="A746" s="647">
        <v>5587</v>
      </c>
      <c r="B746" s="647" t="s">
        <v>7213</v>
      </c>
      <c r="C746" s="647" t="s">
        <v>7214</v>
      </c>
      <c r="D746" s="647" t="s">
        <v>2704</v>
      </c>
      <c r="E746" s="647" t="s">
        <v>3358</v>
      </c>
      <c r="F746" s="647" t="s">
        <v>7215</v>
      </c>
      <c r="G746" s="647" t="s">
        <v>7216</v>
      </c>
      <c r="H746" s="649"/>
      <c r="I746" s="649"/>
      <c r="J746" s="647">
        <v>4530697</v>
      </c>
      <c r="K746" s="647" t="s">
        <v>7217</v>
      </c>
      <c r="L746" s="647" t="s">
        <v>7218</v>
      </c>
      <c r="M746" s="647" t="s">
        <v>3826</v>
      </c>
      <c r="N746" s="648" t="e">
        <v>#N/A</v>
      </c>
    </row>
    <row r="747" spans="1:14" x14ac:dyDescent="0.35">
      <c r="A747" s="647">
        <v>5591</v>
      </c>
      <c r="B747" s="647" t="s">
        <v>7219</v>
      </c>
      <c r="C747" s="647" t="s">
        <v>7220</v>
      </c>
      <c r="D747" s="647" t="s">
        <v>3397</v>
      </c>
      <c r="E747" s="647" t="s">
        <v>3358</v>
      </c>
      <c r="F747" s="647">
        <v>16501</v>
      </c>
      <c r="G747" s="647" t="s">
        <v>7221</v>
      </c>
      <c r="H747" s="647" t="s">
        <v>3917</v>
      </c>
      <c r="I747" s="647" t="s">
        <v>4279</v>
      </c>
      <c r="J747" s="647">
        <v>14530071</v>
      </c>
      <c r="K747" s="647" t="s">
        <v>6526</v>
      </c>
      <c r="L747" s="647" t="s">
        <v>7222</v>
      </c>
      <c r="M747" s="647" t="s">
        <v>3826</v>
      </c>
      <c r="N747" s="648">
        <v>40179</v>
      </c>
    </row>
    <row r="748" spans="1:14" x14ac:dyDescent="0.35">
      <c r="A748" s="647">
        <v>5601</v>
      </c>
      <c r="B748" s="647" t="s">
        <v>7223</v>
      </c>
      <c r="C748" s="647" t="s">
        <v>7224</v>
      </c>
      <c r="D748" s="647" t="s">
        <v>3399</v>
      </c>
      <c r="E748" s="647" t="s">
        <v>3358</v>
      </c>
      <c r="F748" s="647" t="s">
        <v>7225</v>
      </c>
      <c r="G748" s="647" t="s">
        <v>7226</v>
      </c>
      <c r="H748" s="647" t="s">
        <v>3917</v>
      </c>
      <c r="I748" s="647" t="s">
        <v>4264</v>
      </c>
      <c r="J748" s="647">
        <v>2569867</v>
      </c>
      <c r="K748" s="647" t="s">
        <v>7227</v>
      </c>
      <c r="L748" s="647" t="s">
        <v>4031</v>
      </c>
      <c r="M748" s="647" t="s">
        <v>7228</v>
      </c>
      <c r="N748" s="648">
        <v>40349</v>
      </c>
    </row>
    <row r="749" spans="1:14" x14ac:dyDescent="0.35">
      <c r="A749" s="647">
        <v>5605</v>
      </c>
      <c r="B749" s="647" t="s">
        <v>7229</v>
      </c>
      <c r="C749" s="647" t="s">
        <v>7230</v>
      </c>
      <c r="D749" s="647" t="s">
        <v>3401</v>
      </c>
      <c r="E749" s="647" t="s">
        <v>3358</v>
      </c>
      <c r="F749" s="647" t="s">
        <v>7231</v>
      </c>
      <c r="G749" s="647" t="s">
        <v>7232</v>
      </c>
      <c r="H749" s="649"/>
      <c r="I749" s="649"/>
      <c r="J749" s="647">
        <v>129225</v>
      </c>
      <c r="K749" s="647" t="s">
        <v>4540</v>
      </c>
      <c r="L749" s="647" t="s">
        <v>7233</v>
      </c>
      <c r="M749" s="647" t="s">
        <v>3826</v>
      </c>
      <c r="N749" s="648" t="e">
        <v>#N/A</v>
      </c>
    </row>
    <row r="750" spans="1:14" x14ac:dyDescent="0.35">
      <c r="A750" s="647">
        <v>5609</v>
      </c>
      <c r="B750" s="647" t="s">
        <v>7234</v>
      </c>
      <c r="C750" s="647" t="s">
        <v>7235</v>
      </c>
      <c r="D750" s="647" t="s">
        <v>3403</v>
      </c>
      <c r="E750" s="647" t="s">
        <v>3358</v>
      </c>
      <c r="F750" s="647" t="s">
        <v>7236</v>
      </c>
      <c r="G750" s="647" t="s">
        <v>7237</v>
      </c>
      <c r="H750" s="647" t="s">
        <v>5315</v>
      </c>
      <c r="I750" s="647" t="s">
        <v>4264</v>
      </c>
      <c r="J750" s="647">
        <v>1437693</v>
      </c>
      <c r="K750" s="647" t="s">
        <v>7238</v>
      </c>
      <c r="L750" s="647" t="s">
        <v>7239</v>
      </c>
      <c r="M750" s="647" t="s">
        <v>3826</v>
      </c>
      <c r="N750" s="648">
        <v>40360</v>
      </c>
    </row>
    <row r="751" spans="1:14" x14ac:dyDescent="0.35">
      <c r="A751" s="647">
        <v>5617</v>
      </c>
      <c r="B751" s="647" t="s">
        <v>7240</v>
      </c>
      <c r="C751" s="647" t="s">
        <v>7241</v>
      </c>
      <c r="D751" s="647" t="s">
        <v>2455</v>
      </c>
      <c r="E751" s="647" t="s">
        <v>3358</v>
      </c>
      <c r="F751" s="647">
        <v>15601</v>
      </c>
      <c r="G751" s="647" t="s">
        <v>7242</v>
      </c>
      <c r="H751" s="647" t="s">
        <v>3917</v>
      </c>
      <c r="I751" s="647" t="s">
        <v>4264</v>
      </c>
      <c r="J751" s="647">
        <v>2400657</v>
      </c>
      <c r="K751" s="647" t="s">
        <v>4169</v>
      </c>
      <c r="L751" s="647" t="s">
        <v>7243</v>
      </c>
      <c r="M751" s="647" t="s">
        <v>3826</v>
      </c>
      <c r="N751" s="648">
        <v>40374</v>
      </c>
    </row>
    <row r="752" spans="1:14" x14ac:dyDescent="0.35">
      <c r="A752" s="647">
        <v>5621</v>
      </c>
      <c r="B752" s="647" t="s">
        <v>7244</v>
      </c>
      <c r="C752" s="647" t="s">
        <v>7245</v>
      </c>
      <c r="D752" s="647" t="s">
        <v>3406</v>
      </c>
      <c r="E752" s="647" t="s">
        <v>3358</v>
      </c>
      <c r="F752" s="647">
        <v>17102</v>
      </c>
      <c r="G752" s="647" t="s">
        <v>7246</v>
      </c>
      <c r="H752" s="647" t="s">
        <v>3822</v>
      </c>
      <c r="I752" s="647" t="s">
        <v>4253</v>
      </c>
      <c r="J752" s="647">
        <v>11149833</v>
      </c>
      <c r="K752" s="647" t="s">
        <v>4118</v>
      </c>
      <c r="L752" s="647" t="s">
        <v>7247</v>
      </c>
      <c r="M752" s="647" t="s">
        <v>3826</v>
      </c>
      <c r="N752" s="648">
        <v>40360</v>
      </c>
    </row>
    <row r="753" spans="1:14" x14ac:dyDescent="0.35">
      <c r="A753" s="647">
        <v>5641</v>
      </c>
      <c r="B753" s="647" t="s">
        <v>7248</v>
      </c>
      <c r="C753" s="647" t="s">
        <v>7249</v>
      </c>
      <c r="D753" s="647" t="s">
        <v>3408</v>
      </c>
      <c r="E753" s="647" t="s">
        <v>3358</v>
      </c>
      <c r="F753" s="647">
        <v>18201</v>
      </c>
      <c r="G753" s="647" t="s">
        <v>7250</v>
      </c>
      <c r="H753" s="647" t="s">
        <v>3917</v>
      </c>
      <c r="I753" s="647" t="s">
        <v>4279</v>
      </c>
      <c r="J753" s="647">
        <v>760919</v>
      </c>
      <c r="K753" s="647" t="s">
        <v>7251</v>
      </c>
      <c r="L753" s="647" t="s">
        <v>7252</v>
      </c>
      <c r="M753" s="647" t="s">
        <v>3826</v>
      </c>
      <c r="N753" s="648">
        <v>40380</v>
      </c>
    </row>
    <row r="754" spans="1:14" x14ac:dyDescent="0.35">
      <c r="A754" s="647">
        <v>5643</v>
      </c>
      <c r="B754" s="647" t="s">
        <v>7253</v>
      </c>
      <c r="C754" s="647" t="s">
        <v>7254</v>
      </c>
      <c r="D754" s="647" t="s">
        <v>3410</v>
      </c>
      <c r="E754" s="647" t="s">
        <v>3358</v>
      </c>
      <c r="F754" s="647" t="s">
        <v>7255</v>
      </c>
      <c r="G754" s="647" t="s">
        <v>7256</v>
      </c>
      <c r="H754" s="649"/>
      <c r="I754" s="649"/>
      <c r="J754" s="647">
        <v>593583</v>
      </c>
      <c r="K754" s="647" t="s">
        <v>4558</v>
      </c>
      <c r="L754" s="647" t="s">
        <v>7257</v>
      </c>
      <c r="M754" s="647" t="s">
        <v>3826</v>
      </c>
      <c r="N754" s="648" t="e">
        <v>#N/A</v>
      </c>
    </row>
    <row r="755" spans="1:14" x14ac:dyDescent="0.35">
      <c r="A755" s="647">
        <v>5645</v>
      </c>
      <c r="B755" s="647" t="s">
        <v>7258</v>
      </c>
      <c r="C755" s="647" t="s">
        <v>7259</v>
      </c>
      <c r="D755" s="647" t="s">
        <v>3412</v>
      </c>
      <c r="E755" s="647" t="s">
        <v>3358</v>
      </c>
      <c r="F755" s="647" t="s">
        <v>7260</v>
      </c>
      <c r="G755" s="647" t="s">
        <v>7261</v>
      </c>
      <c r="H755" s="649"/>
      <c r="I755" s="649"/>
      <c r="J755" s="647">
        <v>2023434</v>
      </c>
      <c r="K755" s="647" t="s">
        <v>4540</v>
      </c>
      <c r="L755" s="647" t="s">
        <v>7262</v>
      </c>
      <c r="M755" s="647" t="s">
        <v>3826</v>
      </c>
      <c r="N755" s="648" t="e">
        <v>#N/A</v>
      </c>
    </row>
    <row r="756" spans="1:14" x14ac:dyDescent="0.35">
      <c r="A756" s="647">
        <v>5647</v>
      </c>
      <c r="B756" s="647" t="s">
        <v>7263</v>
      </c>
      <c r="C756" s="647" t="s">
        <v>7264</v>
      </c>
      <c r="D756" s="647" t="s">
        <v>3414</v>
      </c>
      <c r="E756" s="647" t="s">
        <v>3358</v>
      </c>
      <c r="F756" s="647">
        <v>15701</v>
      </c>
      <c r="G756" s="647" t="s">
        <v>7265</v>
      </c>
      <c r="H756" s="647" t="s">
        <v>3917</v>
      </c>
      <c r="I756" s="647" t="s">
        <v>4279</v>
      </c>
      <c r="J756" s="647">
        <v>1155778</v>
      </c>
      <c r="K756" s="647" t="s">
        <v>4453</v>
      </c>
      <c r="L756" s="647" t="s">
        <v>7266</v>
      </c>
      <c r="M756" s="647" t="s">
        <v>3826</v>
      </c>
      <c r="N756" s="648">
        <v>40213</v>
      </c>
    </row>
    <row r="757" spans="1:14" x14ac:dyDescent="0.35">
      <c r="A757" s="647">
        <v>5649</v>
      </c>
      <c r="B757" s="647" t="s">
        <v>7267</v>
      </c>
      <c r="C757" s="647" t="s">
        <v>7268</v>
      </c>
      <c r="D757" s="647" t="s">
        <v>7269</v>
      </c>
      <c r="E757" s="647" t="s">
        <v>3358</v>
      </c>
      <c r="F757" s="647" t="s">
        <v>7270</v>
      </c>
      <c r="G757" s="647" t="s">
        <v>7271</v>
      </c>
      <c r="H757" s="647" t="s">
        <v>5315</v>
      </c>
      <c r="I757" s="647" t="s">
        <v>5582</v>
      </c>
      <c r="J757" s="647"/>
      <c r="K757" s="647" t="s">
        <v>7272</v>
      </c>
      <c r="L757" s="647" t="s">
        <v>4573</v>
      </c>
      <c r="M757" s="647" t="s">
        <v>3952</v>
      </c>
      <c r="N757" s="648" t="e">
        <v>#N/A</v>
      </c>
    </row>
    <row r="758" spans="1:14" x14ac:dyDescent="0.35">
      <c r="A758" s="647">
        <v>5657</v>
      </c>
      <c r="B758" s="647" t="s">
        <v>7273</v>
      </c>
      <c r="C758" s="647" t="s">
        <v>7274</v>
      </c>
      <c r="D758" s="647" t="s">
        <v>3416</v>
      </c>
      <c r="E758" s="647" t="s">
        <v>3358</v>
      </c>
      <c r="F758" s="647" t="s">
        <v>7275</v>
      </c>
      <c r="G758" s="647" t="s">
        <v>7276</v>
      </c>
      <c r="H758" s="649"/>
      <c r="I758" s="649"/>
      <c r="J758" s="647">
        <v>1107067</v>
      </c>
      <c r="K758" s="647" t="s">
        <v>7277</v>
      </c>
      <c r="L758" s="647" t="s">
        <v>5152</v>
      </c>
      <c r="M758" s="647" t="s">
        <v>3826</v>
      </c>
      <c r="N758" s="648" t="e">
        <v>#N/A</v>
      </c>
    </row>
    <row r="759" spans="1:14" x14ac:dyDescent="0.35">
      <c r="A759" s="647">
        <v>5665</v>
      </c>
      <c r="B759" s="647" t="s">
        <v>7278</v>
      </c>
      <c r="C759" s="647" t="s">
        <v>7279</v>
      </c>
      <c r="D759" s="647" t="s">
        <v>7280</v>
      </c>
      <c r="E759" s="647" t="s">
        <v>3358</v>
      </c>
      <c r="F759" s="647" t="s">
        <v>7281</v>
      </c>
      <c r="G759" s="647" t="s">
        <v>7282</v>
      </c>
      <c r="H759" s="649"/>
      <c r="I759" s="649"/>
      <c r="J759" s="647"/>
      <c r="K759" s="647" t="s">
        <v>4628</v>
      </c>
      <c r="L759" s="647" t="s">
        <v>5063</v>
      </c>
      <c r="M759" s="647" t="s">
        <v>3826</v>
      </c>
      <c r="N759" s="648" t="e">
        <v>#N/A</v>
      </c>
    </row>
    <row r="760" spans="1:14" x14ac:dyDescent="0.35">
      <c r="A760" s="647">
        <v>5669</v>
      </c>
      <c r="B760" s="647" t="s">
        <v>7283</v>
      </c>
      <c r="C760" s="647" t="s">
        <v>7284</v>
      </c>
      <c r="D760" s="647" t="s">
        <v>3254</v>
      </c>
      <c r="E760" s="647" t="s">
        <v>3358</v>
      </c>
      <c r="F760" s="647">
        <v>17603</v>
      </c>
      <c r="G760" s="647" t="s">
        <v>7285</v>
      </c>
      <c r="H760" s="647" t="s">
        <v>3822</v>
      </c>
      <c r="I760" s="647" t="s">
        <v>4279</v>
      </c>
      <c r="J760" s="647">
        <v>1830658</v>
      </c>
      <c r="K760" s="647" t="s">
        <v>4067</v>
      </c>
      <c r="L760" s="647" t="s">
        <v>7286</v>
      </c>
      <c r="M760" s="647" t="s">
        <v>3826</v>
      </c>
      <c r="N760" s="648">
        <v>40405</v>
      </c>
    </row>
    <row r="761" spans="1:14" x14ac:dyDescent="0.35">
      <c r="A761" s="647">
        <v>5673</v>
      </c>
      <c r="B761" s="647" t="s">
        <v>7287</v>
      </c>
      <c r="C761" s="647" t="s">
        <v>7288</v>
      </c>
      <c r="D761" s="647" t="s">
        <v>2483</v>
      </c>
      <c r="E761" s="647" t="s">
        <v>3358</v>
      </c>
      <c r="F761" s="647">
        <v>17046</v>
      </c>
      <c r="G761" s="647" t="s">
        <v>7289</v>
      </c>
      <c r="H761" s="647" t="s">
        <v>5315</v>
      </c>
      <c r="I761" s="647" t="s">
        <v>5582</v>
      </c>
      <c r="J761" s="647">
        <v>3456096</v>
      </c>
      <c r="K761" s="647" t="s">
        <v>4176</v>
      </c>
      <c r="L761" s="647" t="s">
        <v>7290</v>
      </c>
      <c r="M761" s="647" t="s">
        <v>3826</v>
      </c>
      <c r="N761" s="648" t="e">
        <v>#N/A</v>
      </c>
    </row>
    <row r="762" spans="1:14" x14ac:dyDescent="0.35">
      <c r="A762" s="647">
        <v>5685</v>
      </c>
      <c r="B762" s="647" t="s">
        <v>7291</v>
      </c>
      <c r="C762" s="647" t="s">
        <v>7292</v>
      </c>
      <c r="D762" s="647" t="s">
        <v>3420</v>
      </c>
      <c r="E762" s="647" t="s">
        <v>3358</v>
      </c>
      <c r="F762" s="647" t="s">
        <v>7293</v>
      </c>
      <c r="G762" s="647" t="s">
        <v>7294</v>
      </c>
      <c r="H762" s="647" t="s">
        <v>3917</v>
      </c>
      <c r="I762" s="647" t="s">
        <v>4264</v>
      </c>
      <c r="J762" s="647"/>
      <c r="K762" s="647" t="s">
        <v>3824</v>
      </c>
      <c r="L762" s="647" t="s">
        <v>5039</v>
      </c>
      <c r="M762" s="647" t="s">
        <v>3826</v>
      </c>
      <c r="N762" s="648">
        <v>40464</v>
      </c>
    </row>
    <row r="763" spans="1:14" x14ac:dyDescent="0.35">
      <c r="A763" s="647">
        <v>5686</v>
      </c>
      <c r="B763" s="647" t="s">
        <v>7295</v>
      </c>
      <c r="C763" s="647" t="s">
        <v>7296</v>
      </c>
      <c r="D763" s="647" t="s">
        <v>3422</v>
      </c>
      <c r="E763" s="647" t="s">
        <v>3358</v>
      </c>
      <c r="F763" s="647" t="s">
        <v>7297</v>
      </c>
      <c r="G763" s="647" t="s">
        <v>7298</v>
      </c>
      <c r="H763" s="647" t="s">
        <v>3917</v>
      </c>
      <c r="I763" s="647" t="s">
        <v>4264</v>
      </c>
      <c r="J763" s="647">
        <v>1698760</v>
      </c>
      <c r="K763" s="647" t="s">
        <v>3835</v>
      </c>
      <c r="L763" s="647" t="s">
        <v>7299</v>
      </c>
      <c r="M763" s="647" t="s">
        <v>4078</v>
      </c>
      <c r="N763" s="648">
        <v>40490</v>
      </c>
    </row>
    <row r="764" spans="1:14" x14ac:dyDescent="0.35">
      <c r="A764" s="647">
        <v>5693</v>
      </c>
      <c r="B764" s="647" t="s">
        <v>7300</v>
      </c>
      <c r="C764" s="647" t="s">
        <v>7301</v>
      </c>
      <c r="D764" s="647" t="s">
        <v>3424</v>
      </c>
      <c r="E764" s="647" t="s">
        <v>3358</v>
      </c>
      <c r="F764" s="647" t="s">
        <v>7302</v>
      </c>
      <c r="G764" s="647" t="s">
        <v>7303</v>
      </c>
      <c r="H764" s="649"/>
      <c r="I764" s="649"/>
      <c r="J764" s="647">
        <v>5164018</v>
      </c>
      <c r="K764" s="647" t="s">
        <v>3865</v>
      </c>
      <c r="L764" s="647" t="s">
        <v>7304</v>
      </c>
      <c r="M764" s="647" t="s">
        <v>3826</v>
      </c>
      <c r="N764" s="648" t="e">
        <v>#N/A</v>
      </c>
    </row>
    <row r="765" spans="1:14" x14ac:dyDescent="0.35">
      <c r="A765" s="647">
        <v>5697</v>
      </c>
      <c r="B765" s="647" t="s">
        <v>7305</v>
      </c>
      <c r="C765" s="647" t="s">
        <v>7306</v>
      </c>
      <c r="D765" s="647" t="s">
        <v>3426</v>
      </c>
      <c r="E765" s="647" t="s">
        <v>3358</v>
      </c>
      <c r="F765" s="647" t="s">
        <v>7307</v>
      </c>
      <c r="G765" s="647" t="s">
        <v>7308</v>
      </c>
      <c r="H765" s="647" t="s">
        <v>3917</v>
      </c>
      <c r="I765" s="647" t="s">
        <v>5582</v>
      </c>
      <c r="J765" s="647">
        <v>1528506</v>
      </c>
      <c r="K765" s="647" t="s">
        <v>7309</v>
      </c>
      <c r="L765" s="647" t="s">
        <v>7310</v>
      </c>
      <c r="M765" s="647" t="s">
        <v>3826</v>
      </c>
      <c r="N765" s="648" t="e">
        <v>#N/A</v>
      </c>
    </row>
    <row r="766" spans="1:14" x14ac:dyDescent="0.35">
      <c r="A766" s="647">
        <v>5701</v>
      </c>
      <c r="B766" s="647" t="s">
        <v>7311</v>
      </c>
      <c r="C766" s="647" t="s">
        <v>7312</v>
      </c>
      <c r="D766" s="647" t="s">
        <v>3428</v>
      </c>
      <c r="E766" s="647" t="s">
        <v>3358</v>
      </c>
      <c r="F766" s="647" t="s">
        <v>7313</v>
      </c>
      <c r="G766" s="647" t="s">
        <v>7314</v>
      </c>
      <c r="H766" s="649"/>
      <c r="I766" s="649"/>
      <c r="J766" s="647">
        <v>1337768</v>
      </c>
      <c r="K766" s="647" t="s">
        <v>6470</v>
      </c>
      <c r="L766" s="647" t="s">
        <v>7315</v>
      </c>
      <c r="M766" s="647" t="s">
        <v>3826</v>
      </c>
      <c r="N766" s="648" t="e">
        <v>#N/A</v>
      </c>
    </row>
    <row r="767" spans="1:14" x14ac:dyDescent="0.35">
      <c r="A767" s="647">
        <v>5711</v>
      </c>
      <c r="B767" s="647" t="s">
        <v>7316</v>
      </c>
      <c r="C767" s="647" t="s">
        <v>7317</v>
      </c>
      <c r="D767" s="647" t="s">
        <v>3430</v>
      </c>
      <c r="E767" s="647" t="s">
        <v>3358</v>
      </c>
      <c r="F767" s="647" t="s">
        <v>7318</v>
      </c>
      <c r="G767" s="647" t="s">
        <v>7319</v>
      </c>
      <c r="H767" s="649"/>
      <c r="I767" s="649"/>
      <c r="J767" s="647">
        <v>1739312</v>
      </c>
      <c r="K767" s="647" t="s">
        <v>4088</v>
      </c>
      <c r="L767" s="647" t="s">
        <v>7320</v>
      </c>
      <c r="M767" s="647" t="s">
        <v>3826</v>
      </c>
      <c r="N767" s="648" t="e">
        <v>#N/A</v>
      </c>
    </row>
    <row r="768" spans="1:14" x14ac:dyDescent="0.35">
      <c r="A768" s="647">
        <v>5715</v>
      </c>
      <c r="B768" s="647" t="s">
        <v>7321</v>
      </c>
      <c r="C768" s="647" t="s">
        <v>7322</v>
      </c>
      <c r="D768" s="647" t="s">
        <v>3432</v>
      </c>
      <c r="E768" s="647" t="s">
        <v>3358</v>
      </c>
      <c r="F768" s="647" t="s">
        <v>7323</v>
      </c>
      <c r="G768" s="647" t="s">
        <v>7324</v>
      </c>
      <c r="H768" s="649"/>
      <c r="I768" s="649"/>
      <c r="J768" s="647">
        <v>1399412</v>
      </c>
      <c r="K768" s="647" t="s">
        <v>4302</v>
      </c>
      <c r="L768" s="647" t="s">
        <v>7325</v>
      </c>
      <c r="M768" s="647" t="s">
        <v>3826</v>
      </c>
      <c r="N768" s="648" t="e">
        <v>#N/A</v>
      </c>
    </row>
    <row r="769" spans="1:14" x14ac:dyDescent="0.35">
      <c r="A769" s="647">
        <v>5719</v>
      </c>
      <c r="B769" s="647" t="s">
        <v>7326</v>
      </c>
      <c r="C769" s="647" t="s">
        <v>7327</v>
      </c>
      <c r="D769" s="647" t="s">
        <v>3434</v>
      </c>
      <c r="E769" s="647" t="s">
        <v>3358</v>
      </c>
      <c r="F769" s="647">
        <v>15066</v>
      </c>
      <c r="G769" s="647" t="s">
        <v>7328</v>
      </c>
      <c r="H769" s="647" t="s">
        <v>3917</v>
      </c>
      <c r="I769" s="647" t="s">
        <v>5565</v>
      </c>
      <c r="J769" s="647">
        <v>3145636</v>
      </c>
      <c r="K769" s="647" t="s">
        <v>4052</v>
      </c>
      <c r="L769" s="647" t="s">
        <v>7329</v>
      </c>
      <c r="M769" s="647" t="s">
        <v>3826</v>
      </c>
      <c r="N769" s="648" t="e">
        <v>#N/A</v>
      </c>
    </row>
    <row r="770" spans="1:14" x14ac:dyDescent="0.35">
      <c r="A770" s="647">
        <v>5723</v>
      </c>
      <c r="B770" s="647" t="s">
        <v>7330</v>
      </c>
      <c r="C770" s="647" t="s">
        <v>7331</v>
      </c>
      <c r="D770" s="647" t="s">
        <v>2515</v>
      </c>
      <c r="E770" s="647" t="s">
        <v>3358</v>
      </c>
      <c r="F770" s="647" t="s">
        <v>7332</v>
      </c>
      <c r="G770" s="647" t="s">
        <v>7333</v>
      </c>
      <c r="H770" s="647" t="s">
        <v>3917</v>
      </c>
      <c r="I770" s="647" t="s">
        <v>4279</v>
      </c>
      <c r="J770" s="647">
        <v>1959971</v>
      </c>
      <c r="K770" s="647" t="s">
        <v>4052</v>
      </c>
      <c r="L770" s="647" t="s">
        <v>7334</v>
      </c>
      <c r="M770" s="647" t="s">
        <v>3826</v>
      </c>
      <c r="N770" s="648">
        <v>40210</v>
      </c>
    </row>
    <row r="771" spans="1:14" x14ac:dyDescent="0.35">
      <c r="A771" s="647">
        <v>5735</v>
      </c>
      <c r="B771" s="647" t="s">
        <v>7335</v>
      </c>
      <c r="C771" s="647" t="s">
        <v>7336</v>
      </c>
      <c r="D771" s="647" t="s">
        <v>3437</v>
      </c>
      <c r="E771" s="647" t="s">
        <v>3358</v>
      </c>
      <c r="F771" s="647">
        <v>18915</v>
      </c>
      <c r="G771" s="647" t="s">
        <v>7337</v>
      </c>
      <c r="H771" s="647" t="s">
        <v>3917</v>
      </c>
      <c r="I771" s="647" t="s">
        <v>4253</v>
      </c>
      <c r="J771" s="647">
        <v>8296687</v>
      </c>
      <c r="K771" s="647" t="s">
        <v>3885</v>
      </c>
      <c r="L771" s="647" t="s">
        <v>6259</v>
      </c>
      <c r="M771" s="647" t="s">
        <v>3826</v>
      </c>
      <c r="N771" s="648">
        <v>40179</v>
      </c>
    </row>
    <row r="772" spans="1:14" x14ac:dyDescent="0.35">
      <c r="A772" s="647">
        <v>5738</v>
      </c>
      <c r="B772" s="647" t="s">
        <v>7338</v>
      </c>
      <c r="C772" s="647" t="s">
        <v>7339</v>
      </c>
      <c r="D772" s="647" t="s">
        <v>7340</v>
      </c>
      <c r="E772" s="647" t="s">
        <v>3358</v>
      </c>
      <c r="F772" s="647" t="s">
        <v>7341</v>
      </c>
      <c r="G772" s="647" t="s">
        <v>7342</v>
      </c>
      <c r="H772" s="649"/>
      <c r="I772" s="649"/>
      <c r="J772" s="647"/>
      <c r="K772" s="647" t="s">
        <v>5932</v>
      </c>
      <c r="L772" s="647" t="s">
        <v>7343</v>
      </c>
      <c r="M772" s="647" t="s">
        <v>3826</v>
      </c>
      <c r="N772" s="648" t="e">
        <v>#N/A</v>
      </c>
    </row>
    <row r="773" spans="1:14" x14ac:dyDescent="0.35">
      <c r="A773" s="647">
        <v>5739</v>
      </c>
      <c r="B773" s="647" t="s">
        <v>7344</v>
      </c>
      <c r="C773" s="647" t="s">
        <v>7345</v>
      </c>
      <c r="D773" s="647" t="s">
        <v>3439</v>
      </c>
      <c r="E773" s="647" t="s">
        <v>3358</v>
      </c>
      <c r="F773" s="647" t="s">
        <v>7346</v>
      </c>
      <c r="G773" s="647" t="s">
        <v>7347</v>
      </c>
      <c r="H773" s="649"/>
      <c r="I773" s="649"/>
      <c r="J773" s="647">
        <v>1464533</v>
      </c>
      <c r="K773" s="647" t="s">
        <v>4540</v>
      </c>
      <c r="L773" s="647" t="s">
        <v>7348</v>
      </c>
      <c r="M773" s="647" t="s">
        <v>3826</v>
      </c>
      <c r="N773" s="648" t="e">
        <v>#N/A</v>
      </c>
    </row>
    <row r="774" spans="1:14" x14ac:dyDescent="0.35">
      <c r="A774" s="647">
        <v>5743</v>
      </c>
      <c r="B774" s="647" t="s">
        <v>7349</v>
      </c>
      <c r="C774" s="647" t="s">
        <v>7350</v>
      </c>
      <c r="D774" s="647" t="s">
        <v>3403</v>
      </c>
      <c r="E774" s="647" t="s">
        <v>3358</v>
      </c>
      <c r="F774" s="647" t="s">
        <v>7351</v>
      </c>
      <c r="G774" s="647" t="s">
        <v>7352</v>
      </c>
      <c r="H774" s="647" t="s">
        <v>5875</v>
      </c>
      <c r="I774" s="647" t="s">
        <v>4264</v>
      </c>
      <c r="J774" s="647">
        <v>31707559</v>
      </c>
      <c r="K774" s="647" t="s">
        <v>4259</v>
      </c>
      <c r="L774" s="647" t="s">
        <v>7353</v>
      </c>
      <c r="M774" s="647" t="s">
        <v>3826</v>
      </c>
      <c r="N774" s="648">
        <v>40178</v>
      </c>
    </row>
    <row r="775" spans="1:14" x14ac:dyDescent="0.35">
      <c r="A775" s="647">
        <v>5775</v>
      </c>
      <c r="B775" s="647" t="s">
        <v>7354</v>
      </c>
      <c r="C775" s="647" t="s">
        <v>7355</v>
      </c>
      <c r="D775" s="647" t="s">
        <v>3442</v>
      </c>
      <c r="E775" s="647" t="s">
        <v>3358</v>
      </c>
      <c r="F775" s="647" t="s">
        <v>7356</v>
      </c>
      <c r="G775" s="647" t="s">
        <v>7357</v>
      </c>
      <c r="H775" s="649"/>
      <c r="I775" s="649"/>
      <c r="J775" s="647">
        <v>7710484</v>
      </c>
      <c r="K775" s="647" t="s">
        <v>4044</v>
      </c>
      <c r="L775" s="647" t="s">
        <v>7358</v>
      </c>
      <c r="M775" s="647" t="s">
        <v>3836</v>
      </c>
      <c r="N775" s="648" t="e">
        <v>#N/A</v>
      </c>
    </row>
    <row r="776" spans="1:14" x14ac:dyDescent="0.35">
      <c r="A776" s="647">
        <v>5811</v>
      </c>
      <c r="B776" s="647" t="s">
        <v>7359</v>
      </c>
      <c r="C776" s="647" t="s">
        <v>7360</v>
      </c>
      <c r="D776" s="647" t="s">
        <v>3444</v>
      </c>
      <c r="E776" s="647" t="s">
        <v>3358</v>
      </c>
      <c r="F776" s="647" t="s">
        <v>7361</v>
      </c>
      <c r="G776" s="647" t="s">
        <v>7362</v>
      </c>
      <c r="H776" s="647" t="s">
        <v>5315</v>
      </c>
      <c r="I776" s="647" t="s">
        <v>4253</v>
      </c>
      <c r="J776" s="647">
        <v>23817864</v>
      </c>
      <c r="K776" s="647" t="s">
        <v>4106</v>
      </c>
      <c r="L776" s="647" t="s">
        <v>7363</v>
      </c>
      <c r="M776" s="647" t="s">
        <v>3826</v>
      </c>
      <c r="N776" s="648">
        <v>40268</v>
      </c>
    </row>
    <row r="777" spans="1:14" x14ac:dyDescent="0.35">
      <c r="A777" s="647">
        <v>5815</v>
      </c>
      <c r="B777" s="647" t="s">
        <v>7364</v>
      </c>
      <c r="C777" s="647" t="s">
        <v>7365</v>
      </c>
      <c r="D777" s="647" t="s">
        <v>3446</v>
      </c>
      <c r="E777" s="647" t="s">
        <v>3358</v>
      </c>
      <c r="F777" s="647">
        <v>15222</v>
      </c>
      <c r="G777" s="647" t="s">
        <v>7366</v>
      </c>
      <c r="H777" s="647" t="s">
        <v>5315</v>
      </c>
      <c r="I777" s="647" t="s">
        <v>5565</v>
      </c>
      <c r="J777" s="647">
        <v>29343884</v>
      </c>
      <c r="K777" s="647" t="s">
        <v>3865</v>
      </c>
      <c r="L777" s="647" t="s">
        <v>7367</v>
      </c>
      <c r="M777" s="647" t="s">
        <v>3826</v>
      </c>
      <c r="N777" s="648" t="e">
        <v>#N/A</v>
      </c>
    </row>
    <row r="778" spans="1:14" x14ac:dyDescent="0.35">
      <c r="A778" s="647">
        <v>5891</v>
      </c>
      <c r="B778" s="647" t="s">
        <v>7368</v>
      </c>
      <c r="C778" s="647" t="s">
        <v>7369</v>
      </c>
      <c r="D778" s="647" t="s">
        <v>3448</v>
      </c>
      <c r="E778" s="647" t="s">
        <v>3358</v>
      </c>
      <c r="F778" s="647" t="s">
        <v>7370</v>
      </c>
      <c r="G778" s="647" t="s">
        <v>7371</v>
      </c>
      <c r="H778" s="649"/>
      <c r="I778" s="649"/>
      <c r="J778" s="647">
        <v>1116622</v>
      </c>
      <c r="K778" s="647" t="s">
        <v>3906</v>
      </c>
      <c r="L778" s="647" t="s">
        <v>4962</v>
      </c>
      <c r="M778" s="647" t="s">
        <v>3973</v>
      </c>
      <c r="N778" s="648" t="e">
        <v>#N/A</v>
      </c>
    </row>
    <row r="779" spans="1:14" x14ac:dyDescent="0.35">
      <c r="A779" s="647">
        <v>5895</v>
      </c>
      <c r="B779" s="647" t="s">
        <v>7372</v>
      </c>
      <c r="C779" s="647" t="s">
        <v>7373</v>
      </c>
      <c r="D779" s="647" t="s">
        <v>7374</v>
      </c>
      <c r="E779" s="647" t="s">
        <v>3358</v>
      </c>
      <c r="F779" s="647">
        <v>19464</v>
      </c>
      <c r="G779" s="647" t="s">
        <v>7375</v>
      </c>
      <c r="H779" s="647" t="s">
        <v>5315</v>
      </c>
      <c r="I779" s="647" t="s">
        <v>5565</v>
      </c>
      <c r="J779" s="647"/>
      <c r="K779" s="647" t="s">
        <v>7376</v>
      </c>
      <c r="L779" s="647" t="s">
        <v>7377</v>
      </c>
      <c r="M779" s="647" t="s">
        <v>3826</v>
      </c>
      <c r="N779" s="648" t="e">
        <v>#N/A</v>
      </c>
    </row>
    <row r="780" spans="1:14" x14ac:dyDescent="0.35">
      <c r="A780" s="647">
        <v>5906</v>
      </c>
      <c r="B780" s="647" t="s">
        <v>7378</v>
      </c>
      <c r="C780" s="647" t="s">
        <v>7379</v>
      </c>
      <c r="D780" s="647" t="s">
        <v>3450</v>
      </c>
      <c r="E780" s="647" t="s">
        <v>3358</v>
      </c>
      <c r="F780" s="647">
        <v>18951</v>
      </c>
      <c r="G780" s="647" t="s">
        <v>7380</v>
      </c>
      <c r="H780" s="649"/>
      <c r="I780" s="649"/>
      <c r="J780" s="647">
        <v>2170482</v>
      </c>
      <c r="K780" s="647" t="s">
        <v>6258</v>
      </c>
      <c r="L780" s="647" t="s">
        <v>7381</v>
      </c>
      <c r="M780" s="647" t="s">
        <v>4078</v>
      </c>
      <c r="N780" s="648" t="e">
        <v>#N/A</v>
      </c>
    </row>
    <row r="781" spans="1:14" x14ac:dyDescent="0.35">
      <c r="A781" s="647">
        <v>5907</v>
      </c>
      <c r="B781" s="647" t="s">
        <v>7382</v>
      </c>
      <c r="C781" s="647" t="s">
        <v>7383</v>
      </c>
      <c r="D781" s="647" t="s">
        <v>2792</v>
      </c>
      <c r="E781" s="647" t="s">
        <v>3358</v>
      </c>
      <c r="F781" s="647">
        <v>19603</v>
      </c>
      <c r="G781" s="647" t="s">
        <v>7384</v>
      </c>
      <c r="H781" s="647" t="s">
        <v>3822</v>
      </c>
      <c r="I781" s="647" t="s">
        <v>4253</v>
      </c>
      <c r="J781" s="647">
        <v>5034426</v>
      </c>
      <c r="K781" s="647" t="s">
        <v>7385</v>
      </c>
      <c r="L781" s="647" t="s">
        <v>7386</v>
      </c>
      <c r="M781" s="647" t="s">
        <v>3826</v>
      </c>
      <c r="N781" s="648">
        <v>40179</v>
      </c>
    </row>
    <row r="782" spans="1:14" x14ac:dyDescent="0.35">
      <c r="A782" s="647">
        <v>5908</v>
      </c>
      <c r="B782" s="647" t="s">
        <v>7387</v>
      </c>
      <c r="C782" s="647" t="s">
        <v>7388</v>
      </c>
      <c r="D782" s="647" t="s">
        <v>3453</v>
      </c>
      <c r="E782" s="647" t="s">
        <v>3358</v>
      </c>
      <c r="F782" s="647">
        <v>19512</v>
      </c>
      <c r="G782" s="647" t="s">
        <v>7389</v>
      </c>
      <c r="H782" s="647" t="s">
        <v>3917</v>
      </c>
      <c r="I782" s="647" t="s">
        <v>4279</v>
      </c>
      <c r="J782" s="647">
        <v>4762589</v>
      </c>
      <c r="K782" s="647" t="s">
        <v>4241</v>
      </c>
      <c r="L782" s="647" t="s">
        <v>7390</v>
      </c>
      <c r="M782" s="647" t="s">
        <v>3826</v>
      </c>
      <c r="N782" s="648">
        <v>40360</v>
      </c>
    </row>
    <row r="783" spans="1:14" x14ac:dyDescent="0.35">
      <c r="A783" s="647">
        <v>5919</v>
      </c>
      <c r="B783" s="647" t="s">
        <v>7391</v>
      </c>
      <c r="C783" s="647" t="s">
        <v>7392</v>
      </c>
      <c r="D783" s="647" t="s">
        <v>3455</v>
      </c>
      <c r="E783" s="647" t="s">
        <v>3358</v>
      </c>
      <c r="F783" s="647">
        <v>15853</v>
      </c>
      <c r="G783" s="647" t="s">
        <v>7393</v>
      </c>
      <c r="H783" s="647" t="s">
        <v>5315</v>
      </c>
      <c r="I783" s="647" t="s">
        <v>4083</v>
      </c>
      <c r="J783" s="647">
        <v>474066</v>
      </c>
      <c r="K783" s="647" t="s">
        <v>7394</v>
      </c>
      <c r="L783" s="647" t="s">
        <v>7395</v>
      </c>
      <c r="M783" s="647" t="s">
        <v>3826</v>
      </c>
      <c r="N783" s="648" t="e">
        <v>#N/A</v>
      </c>
    </row>
    <row r="784" spans="1:14" x14ac:dyDescent="0.35">
      <c r="A784" s="647">
        <v>5923</v>
      </c>
      <c r="B784" s="647" t="s">
        <v>7396</v>
      </c>
      <c r="C784" s="647" t="s">
        <v>7397</v>
      </c>
      <c r="D784" s="647" t="s">
        <v>3457</v>
      </c>
      <c r="E784" s="647" t="s">
        <v>3358</v>
      </c>
      <c r="F784" s="647">
        <v>15666</v>
      </c>
      <c r="G784" s="647" t="s">
        <v>7398</v>
      </c>
      <c r="H784" s="647" t="s">
        <v>3917</v>
      </c>
      <c r="I784" s="647" t="s">
        <v>4264</v>
      </c>
      <c r="J784" s="647">
        <v>1307595</v>
      </c>
      <c r="K784" s="647" t="s">
        <v>5301</v>
      </c>
      <c r="L784" s="647" t="s">
        <v>7399</v>
      </c>
      <c r="M784" s="647" t="s">
        <v>4078</v>
      </c>
      <c r="N784" s="648">
        <v>40480</v>
      </c>
    </row>
    <row r="785" spans="1:14" x14ac:dyDescent="0.35">
      <c r="A785" s="647">
        <v>5927</v>
      </c>
      <c r="B785" s="647" t="s">
        <v>7400</v>
      </c>
      <c r="C785" s="647" t="s">
        <v>7401</v>
      </c>
      <c r="D785" s="647" t="s">
        <v>3459</v>
      </c>
      <c r="E785" s="647" t="s">
        <v>3358</v>
      </c>
      <c r="F785" s="647">
        <v>3801</v>
      </c>
      <c r="G785" s="647" t="s">
        <v>7402</v>
      </c>
      <c r="H785" s="649"/>
      <c r="I785" s="649"/>
      <c r="J785" s="647">
        <v>2597806</v>
      </c>
      <c r="K785" s="647" t="s">
        <v>6299</v>
      </c>
      <c r="L785" s="647" t="s">
        <v>7403</v>
      </c>
      <c r="M785" s="647" t="s">
        <v>3826</v>
      </c>
      <c r="N785" s="648" t="e">
        <v>#N/A</v>
      </c>
    </row>
    <row r="786" spans="1:14" x14ac:dyDescent="0.35">
      <c r="A786" s="647">
        <v>5928</v>
      </c>
      <c r="B786" s="647" t="s">
        <v>7404</v>
      </c>
      <c r="C786" s="647" t="s">
        <v>7405</v>
      </c>
      <c r="D786" s="647" t="s">
        <v>3461</v>
      </c>
      <c r="E786" s="647" t="s">
        <v>3358</v>
      </c>
      <c r="F786" s="647">
        <v>47170</v>
      </c>
      <c r="G786" s="647" t="s">
        <v>7406</v>
      </c>
      <c r="H786" s="647" t="s">
        <v>3822</v>
      </c>
      <c r="I786" s="647" t="s">
        <v>4279</v>
      </c>
      <c r="J786" s="647">
        <v>415998</v>
      </c>
      <c r="K786" s="647" t="s">
        <v>5546</v>
      </c>
      <c r="L786" s="647" t="s">
        <v>7407</v>
      </c>
      <c r="M786" s="647" t="s">
        <v>3826</v>
      </c>
      <c r="N786" s="648">
        <v>40422</v>
      </c>
    </row>
    <row r="787" spans="1:14" x14ac:dyDescent="0.35">
      <c r="A787" s="647">
        <v>5931</v>
      </c>
      <c r="B787" s="647" t="s">
        <v>7408</v>
      </c>
      <c r="C787" s="647" t="s">
        <v>7409</v>
      </c>
      <c r="D787" s="647" t="s">
        <v>3463</v>
      </c>
      <c r="E787" s="647" t="s">
        <v>3358</v>
      </c>
      <c r="F787" s="647">
        <v>53081</v>
      </c>
      <c r="G787" s="647" t="s">
        <v>7410</v>
      </c>
      <c r="H787" s="649"/>
      <c r="I787" s="649"/>
      <c r="J787" s="647">
        <v>4189007</v>
      </c>
      <c r="K787" s="647" t="s">
        <v>4503</v>
      </c>
      <c r="L787" s="647" t="s">
        <v>7411</v>
      </c>
      <c r="M787" s="647" t="s">
        <v>4078</v>
      </c>
      <c r="N787" s="648" t="e">
        <v>#N/A</v>
      </c>
    </row>
    <row r="788" spans="1:14" x14ac:dyDescent="0.35">
      <c r="A788" s="647">
        <v>5935</v>
      </c>
      <c r="B788" s="647" t="s">
        <v>7412</v>
      </c>
      <c r="C788" s="647" t="s">
        <v>7413</v>
      </c>
      <c r="D788" s="647" t="s">
        <v>3465</v>
      </c>
      <c r="E788" s="647" t="s">
        <v>3358</v>
      </c>
      <c r="F788" s="647">
        <v>62650</v>
      </c>
      <c r="G788" s="647" t="s">
        <v>7414</v>
      </c>
      <c r="H788" s="647" t="s">
        <v>3917</v>
      </c>
      <c r="I788" s="647" t="s">
        <v>4264</v>
      </c>
      <c r="J788" s="647">
        <v>435396</v>
      </c>
      <c r="K788" s="647" t="s">
        <v>7415</v>
      </c>
      <c r="L788" s="647" t="s">
        <v>7416</v>
      </c>
      <c r="M788" s="647" t="s">
        <v>4078</v>
      </c>
      <c r="N788" s="648">
        <v>40268</v>
      </c>
    </row>
    <row r="789" spans="1:14" x14ac:dyDescent="0.35">
      <c r="A789" s="647">
        <v>5938</v>
      </c>
      <c r="B789" s="647" t="s">
        <v>7417</v>
      </c>
      <c r="C789" s="647" t="s">
        <v>7418</v>
      </c>
      <c r="D789" s="647" t="s">
        <v>3467</v>
      </c>
      <c r="E789" s="647" t="s">
        <v>3358</v>
      </c>
      <c r="F789" s="647">
        <v>49622</v>
      </c>
      <c r="G789" s="647" t="s">
        <v>7419</v>
      </c>
      <c r="H789" s="647" t="s">
        <v>3917</v>
      </c>
      <c r="I789" s="647" t="s">
        <v>5582</v>
      </c>
      <c r="J789" s="647"/>
      <c r="K789" s="647" t="s">
        <v>4645</v>
      </c>
      <c r="L789" s="647" t="s">
        <v>7140</v>
      </c>
      <c r="M789" s="647" t="s">
        <v>3826</v>
      </c>
      <c r="N789" s="648" t="e">
        <v>#N/A</v>
      </c>
    </row>
    <row r="790" spans="1:14" x14ac:dyDescent="0.35">
      <c r="A790" s="647">
        <v>5939</v>
      </c>
      <c r="B790" s="647" t="s">
        <v>7420</v>
      </c>
      <c r="C790" s="647" t="s">
        <v>7421</v>
      </c>
      <c r="D790" s="647" t="s">
        <v>3469</v>
      </c>
      <c r="E790" s="647" t="s">
        <v>3358</v>
      </c>
      <c r="F790" s="647" t="s">
        <v>7422</v>
      </c>
      <c r="G790" s="647" t="s">
        <v>7423</v>
      </c>
      <c r="H790" s="647" t="s">
        <v>5315</v>
      </c>
      <c r="I790" s="647" t="s">
        <v>4264</v>
      </c>
      <c r="J790" s="647">
        <v>2431334</v>
      </c>
      <c r="K790" s="647" t="s">
        <v>4897</v>
      </c>
      <c r="L790" s="647" t="s">
        <v>7424</v>
      </c>
      <c r="M790" s="647" t="s">
        <v>3826</v>
      </c>
      <c r="N790" s="648">
        <v>40238</v>
      </c>
    </row>
    <row r="791" spans="1:14" x14ac:dyDescent="0.35">
      <c r="A791" s="647">
        <v>5945</v>
      </c>
      <c r="B791" s="647" t="s">
        <v>7425</v>
      </c>
      <c r="C791" s="647" t="s">
        <v>7426</v>
      </c>
      <c r="D791" s="647" t="s">
        <v>3471</v>
      </c>
      <c r="E791" s="647" t="s">
        <v>3358</v>
      </c>
      <c r="F791" s="647">
        <v>33602</v>
      </c>
      <c r="G791" s="647" t="s">
        <v>7427</v>
      </c>
      <c r="H791" s="647" t="s">
        <v>5315</v>
      </c>
      <c r="I791" s="647" t="s">
        <v>4083</v>
      </c>
      <c r="J791" s="647">
        <v>2421522</v>
      </c>
      <c r="K791" s="647" t="s">
        <v>7428</v>
      </c>
      <c r="L791" s="647" t="s">
        <v>7429</v>
      </c>
      <c r="M791" s="647" t="s">
        <v>3826</v>
      </c>
      <c r="N791" s="648" t="e">
        <v>#N/A</v>
      </c>
    </row>
    <row r="792" spans="1:14" x14ac:dyDescent="0.35">
      <c r="A792" s="647">
        <v>5949</v>
      </c>
      <c r="B792" s="647" t="s">
        <v>7430</v>
      </c>
      <c r="C792" s="647" t="s">
        <v>7431</v>
      </c>
      <c r="D792" s="647" t="s">
        <v>3473</v>
      </c>
      <c r="E792" s="647" t="s">
        <v>3358</v>
      </c>
      <c r="F792" s="647">
        <v>15065</v>
      </c>
      <c r="G792" s="647" t="s">
        <v>7432</v>
      </c>
      <c r="H792" s="647" t="s">
        <v>3917</v>
      </c>
      <c r="I792" s="647" t="s">
        <v>4264</v>
      </c>
      <c r="J792" s="647">
        <v>1207931</v>
      </c>
      <c r="K792" s="647" t="s">
        <v>3824</v>
      </c>
      <c r="L792" s="647" t="s">
        <v>7433</v>
      </c>
      <c r="M792" s="647" t="s">
        <v>3826</v>
      </c>
      <c r="N792" s="648">
        <v>40179</v>
      </c>
    </row>
    <row r="793" spans="1:14" x14ac:dyDescent="0.35">
      <c r="A793" s="647">
        <v>5950</v>
      </c>
      <c r="B793" s="647" t="s">
        <v>7434</v>
      </c>
      <c r="C793" s="647" t="s">
        <v>7435</v>
      </c>
      <c r="D793" s="647" t="s">
        <v>3406</v>
      </c>
      <c r="E793" s="647" t="s">
        <v>3358</v>
      </c>
      <c r="F793" s="647">
        <v>61081</v>
      </c>
      <c r="G793" s="647" t="s">
        <v>7436</v>
      </c>
      <c r="H793" s="649"/>
      <c r="I793" s="649"/>
      <c r="J793" s="647">
        <v>182222</v>
      </c>
      <c r="K793" s="647" t="s">
        <v>5407</v>
      </c>
      <c r="L793" s="647" t="s">
        <v>4024</v>
      </c>
      <c r="M793" s="647" t="s">
        <v>3826</v>
      </c>
      <c r="N793" s="648" t="e">
        <v>#N/A</v>
      </c>
    </row>
    <row r="794" spans="1:14" x14ac:dyDescent="0.35">
      <c r="A794" s="647">
        <v>5953</v>
      </c>
      <c r="B794" s="647" t="s">
        <v>7437</v>
      </c>
      <c r="C794" s="647" t="s">
        <v>7438</v>
      </c>
      <c r="D794" s="647" t="s">
        <v>3476</v>
      </c>
      <c r="E794" s="647" t="s">
        <v>3358</v>
      </c>
      <c r="F794" s="647">
        <v>66603</v>
      </c>
      <c r="G794" s="647" t="s">
        <v>7439</v>
      </c>
      <c r="H794" s="647" t="s">
        <v>5315</v>
      </c>
      <c r="I794" s="647" t="s">
        <v>4253</v>
      </c>
      <c r="J794" s="647"/>
      <c r="K794" s="647" t="s">
        <v>4945</v>
      </c>
      <c r="L794" s="647" t="s">
        <v>7440</v>
      </c>
      <c r="M794" s="647" t="s">
        <v>4078</v>
      </c>
      <c r="N794" s="648" t="e">
        <v>#N/A</v>
      </c>
    </row>
    <row r="795" spans="1:14" x14ac:dyDescent="0.35">
      <c r="A795" s="647">
        <v>5961</v>
      </c>
      <c r="B795" s="647" t="s">
        <v>7441</v>
      </c>
      <c r="C795" s="647" t="s">
        <v>7442</v>
      </c>
      <c r="D795" s="647" t="s">
        <v>3478</v>
      </c>
      <c r="E795" s="647" t="s">
        <v>3358</v>
      </c>
      <c r="F795" s="647">
        <v>15401</v>
      </c>
      <c r="G795" s="647" t="s">
        <v>7443</v>
      </c>
      <c r="H795" s="647" t="s">
        <v>3917</v>
      </c>
      <c r="I795" s="647" t="s">
        <v>4264</v>
      </c>
      <c r="J795" s="647">
        <v>1293183</v>
      </c>
      <c r="K795" s="647" t="s">
        <v>5301</v>
      </c>
      <c r="L795" s="647" t="s">
        <v>7444</v>
      </c>
      <c r="M795" s="647" t="s">
        <v>3826</v>
      </c>
      <c r="N795" s="648">
        <v>40323</v>
      </c>
    </row>
    <row r="796" spans="1:14" x14ac:dyDescent="0.35">
      <c r="A796" s="647">
        <v>5965</v>
      </c>
      <c r="B796" s="647" t="s">
        <v>7445</v>
      </c>
      <c r="C796" s="647" t="s">
        <v>7446</v>
      </c>
      <c r="D796" s="647" t="s">
        <v>2338</v>
      </c>
      <c r="E796" s="647" t="s">
        <v>3358</v>
      </c>
      <c r="F796" s="647">
        <v>31603</v>
      </c>
      <c r="G796" s="647" t="s">
        <v>7447</v>
      </c>
      <c r="H796" s="647" t="s">
        <v>3917</v>
      </c>
      <c r="I796" s="647" t="s">
        <v>4253</v>
      </c>
      <c r="J796" s="647">
        <v>13930977</v>
      </c>
      <c r="K796" s="647" t="s">
        <v>4399</v>
      </c>
      <c r="L796" s="647" t="s">
        <v>7448</v>
      </c>
      <c r="M796" s="647" t="s">
        <v>3826</v>
      </c>
      <c r="N796" s="648">
        <v>40422</v>
      </c>
    </row>
    <row r="797" spans="1:14" x14ac:dyDescent="0.35">
      <c r="A797" s="647">
        <v>5969</v>
      </c>
      <c r="B797" s="647" t="s">
        <v>4851</v>
      </c>
      <c r="C797" s="647" t="s">
        <v>7449</v>
      </c>
      <c r="D797" s="647" t="s">
        <v>2082</v>
      </c>
      <c r="E797" s="647" t="s">
        <v>3358</v>
      </c>
      <c r="F797" s="647" t="s">
        <v>7450</v>
      </c>
      <c r="G797" s="647" t="s">
        <v>7451</v>
      </c>
      <c r="H797" s="647" t="s">
        <v>3917</v>
      </c>
      <c r="I797" s="647" t="s">
        <v>4264</v>
      </c>
      <c r="J797" s="647">
        <v>1558839</v>
      </c>
      <c r="K797" s="647" t="s">
        <v>7452</v>
      </c>
      <c r="L797" s="647" t="s">
        <v>7453</v>
      </c>
      <c r="M797" s="647" t="s">
        <v>3826</v>
      </c>
      <c r="N797" s="648">
        <v>40287</v>
      </c>
    </row>
    <row r="798" spans="1:14" x14ac:dyDescent="0.35">
      <c r="A798" s="647">
        <v>5977</v>
      </c>
      <c r="B798" s="647" t="s">
        <v>7454</v>
      </c>
      <c r="C798" s="647" t="s">
        <v>7455</v>
      </c>
      <c r="D798" s="647" t="s">
        <v>3481</v>
      </c>
      <c r="E798" s="647" t="s">
        <v>3358</v>
      </c>
      <c r="F798" s="647">
        <v>17268</v>
      </c>
      <c r="G798" s="647" t="s">
        <v>7456</v>
      </c>
      <c r="H798" s="649"/>
      <c r="I798" s="649"/>
      <c r="J798" s="647">
        <v>1325409</v>
      </c>
      <c r="K798" s="647" t="s">
        <v>4035</v>
      </c>
      <c r="L798" s="647" t="s">
        <v>4470</v>
      </c>
      <c r="M798" s="647" t="s">
        <v>3826</v>
      </c>
      <c r="N798" s="648" t="e">
        <v>#N/A</v>
      </c>
    </row>
    <row r="799" spans="1:14" x14ac:dyDescent="0.35">
      <c r="A799" s="647">
        <v>5979</v>
      </c>
      <c r="B799" s="647" t="s">
        <v>7457</v>
      </c>
      <c r="C799" s="647" t="s">
        <v>7458</v>
      </c>
      <c r="D799" s="647" t="s">
        <v>3483</v>
      </c>
      <c r="E799" s="647" t="s">
        <v>3358</v>
      </c>
      <c r="F799" s="647">
        <v>54469</v>
      </c>
      <c r="G799" s="647" t="s">
        <v>7459</v>
      </c>
      <c r="H799" s="649"/>
      <c r="I799" s="649"/>
      <c r="J799" s="647">
        <v>1720453</v>
      </c>
      <c r="K799" s="647" t="s">
        <v>4248</v>
      </c>
      <c r="L799" s="647" t="s">
        <v>7460</v>
      </c>
      <c r="M799" s="647" t="s">
        <v>3826</v>
      </c>
      <c r="N799" s="648" t="e">
        <v>#N/A</v>
      </c>
    </row>
    <row r="800" spans="1:14" x14ac:dyDescent="0.35">
      <c r="A800" s="647">
        <v>5987</v>
      </c>
      <c r="B800" s="647" t="s">
        <v>7461</v>
      </c>
      <c r="C800" s="647" t="s">
        <v>7462</v>
      </c>
      <c r="D800" s="647" t="s">
        <v>3485</v>
      </c>
      <c r="E800" s="647" t="s">
        <v>3358</v>
      </c>
      <c r="F800" s="647">
        <v>17701</v>
      </c>
      <c r="G800" s="647" t="s">
        <v>7463</v>
      </c>
      <c r="H800" s="647" t="s">
        <v>5315</v>
      </c>
      <c r="I800" s="647" t="s">
        <v>4083</v>
      </c>
      <c r="J800" s="647">
        <v>2538378</v>
      </c>
      <c r="K800" s="647" t="s">
        <v>3835</v>
      </c>
      <c r="L800" s="647" t="s">
        <v>4540</v>
      </c>
      <c r="M800" s="647" t="s">
        <v>3952</v>
      </c>
      <c r="N800" s="648" t="e">
        <v>#N/A</v>
      </c>
    </row>
    <row r="801" spans="1:14" x14ac:dyDescent="0.35">
      <c r="A801" s="647">
        <v>5991</v>
      </c>
      <c r="B801" s="647" t="s">
        <v>7464</v>
      </c>
      <c r="C801" s="647" t="s">
        <v>7465</v>
      </c>
      <c r="D801" s="647" t="s">
        <v>3487</v>
      </c>
      <c r="E801" s="647" t="s">
        <v>3358</v>
      </c>
      <c r="F801" s="647">
        <v>30680</v>
      </c>
      <c r="G801" s="647" t="s">
        <v>7466</v>
      </c>
      <c r="H801" s="647" t="s">
        <v>3917</v>
      </c>
      <c r="I801" s="647" t="s">
        <v>4253</v>
      </c>
      <c r="J801" s="647">
        <v>5739997</v>
      </c>
      <c r="K801" s="647" t="s">
        <v>4503</v>
      </c>
      <c r="L801" s="647" t="s">
        <v>7467</v>
      </c>
      <c r="M801" s="647" t="s">
        <v>3826</v>
      </c>
      <c r="N801" s="648">
        <v>40179</v>
      </c>
    </row>
    <row r="802" spans="1:14" x14ac:dyDescent="0.35">
      <c r="A802" s="647">
        <v>5995</v>
      </c>
      <c r="B802" s="647" t="s">
        <v>7468</v>
      </c>
      <c r="C802" s="647" t="s">
        <v>7469</v>
      </c>
      <c r="D802" s="647" t="s">
        <v>3489</v>
      </c>
      <c r="E802" s="647" t="s">
        <v>3358</v>
      </c>
      <c r="F802" s="647">
        <v>17401</v>
      </c>
      <c r="G802" s="647" t="s">
        <v>7470</v>
      </c>
      <c r="H802" s="647" t="s">
        <v>5315</v>
      </c>
      <c r="I802" s="647" t="s">
        <v>4279</v>
      </c>
      <c r="J802" s="647">
        <v>5947706</v>
      </c>
      <c r="K802" s="647" t="s">
        <v>3918</v>
      </c>
      <c r="L802" s="647" t="s">
        <v>7471</v>
      </c>
      <c r="M802" s="647" t="s">
        <v>3826</v>
      </c>
      <c r="N802" s="648">
        <v>40193</v>
      </c>
    </row>
    <row r="803" spans="1:14" x14ac:dyDescent="0.35">
      <c r="A803" s="647">
        <v>5997</v>
      </c>
      <c r="B803" s="647" t="s">
        <v>7472</v>
      </c>
      <c r="C803" s="647" t="s">
        <v>7473</v>
      </c>
      <c r="D803" s="647" t="s">
        <v>3491</v>
      </c>
      <c r="E803" s="647" t="s">
        <v>3358</v>
      </c>
      <c r="F803" s="647">
        <v>17331</v>
      </c>
      <c r="G803" s="647" t="s">
        <v>7474</v>
      </c>
      <c r="H803" s="647" t="s">
        <v>3822</v>
      </c>
      <c r="I803" s="647" t="s">
        <v>4279</v>
      </c>
      <c r="J803" s="647">
        <v>5508973</v>
      </c>
      <c r="K803" s="647" t="s">
        <v>7475</v>
      </c>
      <c r="L803" s="647" t="s">
        <v>7476</v>
      </c>
      <c r="M803" s="647" t="s">
        <v>3826</v>
      </c>
      <c r="N803" s="648">
        <v>40179</v>
      </c>
    </row>
    <row r="804" spans="1:14" x14ac:dyDescent="0.35">
      <c r="A804" s="647">
        <v>6003</v>
      </c>
      <c r="B804" s="647" t="s">
        <v>7477</v>
      </c>
      <c r="C804" s="647" t="s">
        <v>7478</v>
      </c>
      <c r="D804" s="647" t="s">
        <v>3493</v>
      </c>
      <c r="E804" s="647" t="s">
        <v>3358</v>
      </c>
      <c r="F804" s="647">
        <v>15068</v>
      </c>
      <c r="G804" s="647" t="s">
        <v>7479</v>
      </c>
      <c r="H804" s="647" t="s">
        <v>3917</v>
      </c>
      <c r="I804" s="647" t="s">
        <v>4264</v>
      </c>
      <c r="J804" s="647">
        <v>2381435</v>
      </c>
      <c r="K804" s="647" t="s">
        <v>5241</v>
      </c>
      <c r="L804" s="647" t="s">
        <v>7480</v>
      </c>
      <c r="M804" s="647" t="s">
        <v>3826</v>
      </c>
      <c r="N804" s="648">
        <v>40360</v>
      </c>
    </row>
    <row r="805" spans="1:14" x14ac:dyDescent="0.35">
      <c r="A805" s="647">
        <v>6022</v>
      </c>
      <c r="B805" s="647" t="s">
        <v>7481</v>
      </c>
      <c r="C805" s="647" t="s">
        <v>7482</v>
      </c>
      <c r="D805" s="647" t="s">
        <v>3500</v>
      </c>
      <c r="E805" s="647" t="s">
        <v>2440</v>
      </c>
      <c r="F805" s="647">
        <v>47923</v>
      </c>
      <c r="G805" s="647" t="s">
        <v>7483</v>
      </c>
      <c r="H805" s="647" t="s">
        <v>4688</v>
      </c>
      <c r="I805" s="647" t="s">
        <v>3995</v>
      </c>
      <c r="J805" s="647">
        <v>5264006</v>
      </c>
      <c r="K805" s="647" t="s">
        <v>4164</v>
      </c>
      <c r="L805" s="647" t="s">
        <v>4014</v>
      </c>
      <c r="M805" s="647" t="s">
        <v>3826</v>
      </c>
      <c r="N805" s="648">
        <v>40299</v>
      </c>
    </row>
    <row r="806" spans="1:14" x14ac:dyDescent="0.35">
      <c r="A806" s="647">
        <v>6030</v>
      </c>
      <c r="B806" s="647" t="s">
        <v>7484</v>
      </c>
      <c r="C806" s="647" t="s">
        <v>7485</v>
      </c>
      <c r="D806" s="647" t="s">
        <v>2198</v>
      </c>
      <c r="E806" s="647" t="s">
        <v>3502</v>
      </c>
      <c r="F806" s="647">
        <v>2842</v>
      </c>
      <c r="G806" s="647" t="s">
        <v>7486</v>
      </c>
      <c r="H806" s="647" t="s">
        <v>4247</v>
      </c>
      <c r="I806" s="647" t="s">
        <v>3995</v>
      </c>
      <c r="J806" s="647">
        <v>3201432</v>
      </c>
      <c r="K806" s="647" t="s">
        <v>3950</v>
      </c>
      <c r="L806" s="647" t="s">
        <v>7487</v>
      </c>
      <c r="M806" s="647" t="s">
        <v>4078</v>
      </c>
      <c r="N806" s="648">
        <v>40299</v>
      </c>
    </row>
    <row r="807" spans="1:14" x14ac:dyDescent="0.35">
      <c r="A807" s="647">
        <v>6038</v>
      </c>
      <c r="B807" s="647" t="s">
        <v>7488</v>
      </c>
      <c r="C807" s="647" t="s">
        <v>7489</v>
      </c>
      <c r="D807" s="647" t="s">
        <v>3504</v>
      </c>
      <c r="E807" s="647" t="s">
        <v>3502</v>
      </c>
      <c r="F807" s="647">
        <v>2860</v>
      </c>
      <c r="G807" s="647" t="s">
        <v>7490</v>
      </c>
      <c r="H807" s="647" t="s">
        <v>4247</v>
      </c>
      <c r="I807" s="647" t="s">
        <v>3995</v>
      </c>
      <c r="J807" s="647">
        <v>8282125</v>
      </c>
      <c r="K807" s="647" t="s">
        <v>7491</v>
      </c>
      <c r="L807" s="647" t="s">
        <v>7492</v>
      </c>
      <c r="M807" s="647" t="s">
        <v>3826</v>
      </c>
      <c r="N807" s="648">
        <v>40360</v>
      </c>
    </row>
    <row r="808" spans="1:14" x14ac:dyDescent="0.35">
      <c r="A808" s="647">
        <v>6042</v>
      </c>
      <c r="B808" s="647" t="s">
        <v>7493</v>
      </c>
      <c r="C808" s="647" t="s">
        <v>7494</v>
      </c>
      <c r="D808" s="647" t="s">
        <v>3506</v>
      </c>
      <c r="E808" s="647" t="s">
        <v>3502</v>
      </c>
      <c r="F808" s="647">
        <v>2903</v>
      </c>
      <c r="G808" s="647" t="s">
        <v>7495</v>
      </c>
      <c r="H808" s="647" t="s">
        <v>4247</v>
      </c>
      <c r="I808" s="647" t="s">
        <v>4083</v>
      </c>
      <c r="J808" s="647">
        <v>23992551</v>
      </c>
      <c r="K808" s="647" t="s">
        <v>4231</v>
      </c>
      <c r="L808" s="647" t="s">
        <v>7496</v>
      </c>
      <c r="M808" s="647" t="s">
        <v>3826</v>
      </c>
      <c r="N808" s="648">
        <v>40359</v>
      </c>
    </row>
    <row r="809" spans="1:14" x14ac:dyDescent="0.35">
      <c r="A809" s="647">
        <v>6073</v>
      </c>
      <c r="B809" s="647" t="s">
        <v>7497</v>
      </c>
      <c r="C809" s="647" t="s">
        <v>7498</v>
      </c>
      <c r="D809" s="647" t="s">
        <v>2858</v>
      </c>
      <c r="E809" s="647" t="s">
        <v>3502</v>
      </c>
      <c r="F809" s="647">
        <v>2143</v>
      </c>
      <c r="G809" s="647" t="s">
        <v>7499</v>
      </c>
      <c r="H809" s="649"/>
      <c r="I809" s="649"/>
      <c r="J809" s="647">
        <v>946432</v>
      </c>
      <c r="K809" s="647" t="s">
        <v>5706</v>
      </c>
      <c r="L809" s="647" t="s">
        <v>7500</v>
      </c>
      <c r="M809" s="647" t="s">
        <v>3826</v>
      </c>
      <c r="N809" s="648" t="e">
        <v>#N/A</v>
      </c>
    </row>
    <row r="810" spans="1:14" x14ac:dyDescent="0.35">
      <c r="A810" s="647">
        <v>6074</v>
      </c>
      <c r="B810" s="647" t="s">
        <v>7501</v>
      </c>
      <c r="C810" s="647" t="s">
        <v>7502</v>
      </c>
      <c r="D810" s="647" t="s">
        <v>3509</v>
      </c>
      <c r="E810" s="647" t="s">
        <v>3502</v>
      </c>
      <c r="F810" s="647">
        <v>2891</v>
      </c>
      <c r="G810" s="647" t="s">
        <v>7503</v>
      </c>
      <c r="H810" s="647" t="s">
        <v>4247</v>
      </c>
      <c r="I810" s="647" t="s">
        <v>4083</v>
      </c>
      <c r="J810" s="647">
        <v>5265532</v>
      </c>
      <c r="K810" s="647" t="s">
        <v>7504</v>
      </c>
      <c r="L810" s="647" t="s">
        <v>7505</v>
      </c>
      <c r="M810" s="647" t="s">
        <v>3826</v>
      </c>
      <c r="N810" s="648">
        <v>40179</v>
      </c>
    </row>
    <row r="811" spans="1:14" x14ac:dyDescent="0.35">
      <c r="A811" s="647">
        <v>6078</v>
      </c>
      <c r="B811" s="647" t="s">
        <v>7506</v>
      </c>
      <c r="C811" s="647" t="s">
        <v>7507</v>
      </c>
      <c r="D811" s="647" t="s">
        <v>3511</v>
      </c>
      <c r="E811" s="647" t="s">
        <v>3502</v>
      </c>
      <c r="F811" s="647">
        <v>2895</v>
      </c>
      <c r="G811" s="647" t="s">
        <v>7508</v>
      </c>
      <c r="H811" s="647" t="s">
        <v>4688</v>
      </c>
      <c r="I811" s="647" t="s">
        <v>5565</v>
      </c>
      <c r="J811" s="647">
        <v>983960</v>
      </c>
      <c r="K811" s="647" t="s">
        <v>5009</v>
      </c>
      <c r="L811" s="647" t="s">
        <v>2823</v>
      </c>
      <c r="M811" s="647" t="s">
        <v>4078</v>
      </c>
      <c r="N811" s="648" t="e">
        <v>#N/A</v>
      </c>
    </row>
    <row r="812" spans="1:14" x14ac:dyDescent="0.35">
      <c r="A812" s="647">
        <v>6082</v>
      </c>
      <c r="B812" s="647" t="s">
        <v>7509</v>
      </c>
      <c r="C812" s="647" t="s">
        <v>7510</v>
      </c>
      <c r="D812" s="647" t="s">
        <v>2509</v>
      </c>
      <c r="E812" s="647" t="s">
        <v>3513</v>
      </c>
      <c r="F812" s="647">
        <v>29621</v>
      </c>
      <c r="G812" s="647" t="s">
        <v>7511</v>
      </c>
      <c r="H812" s="647" t="s">
        <v>3944</v>
      </c>
      <c r="I812" s="647" t="s">
        <v>3977</v>
      </c>
      <c r="J812" s="647">
        <v>4109951</v>
      </c>
      <c r="K812" s="647" t="s">
        <v>4399</v>
      </c>
      <c r="L812" s="647" t="s">
        <v>7512</v>
      </c>
      <c r="M812" s="647" t="s">
        <v>3826</v>
      </c>
      <c r="N812" s="648">
        <v>40193</v>
      </c>
    </row>
    <row r="813" spans="1:14" x14ac:dyDescent="0.35">
      <c r="A813" s="647">
        <v>6083</v>
      </c>
      <c r="B813" s="647" t="s">
        <v>7513</v>
      </c>
      <c r="C813" s="647" t="s">
        <v>7514</v>
      </c>
      <c r="D813" s="647" t="s">
        <v>3515</v>
      </c>
      <c r="E813" s="647" t="s">
        <v>3513</v>
      </c>
      <c r="F813" s="647">
        <v>29935</v>
      </c>
      <c r="G813" s="647" t="s">
        <v>7515</v>
      </c>
      <c r="H813" s="647" t="s">
        <v>3944</v>
      </c>
      <c r="I813" s="647" t="s">
        <v>4502</v>
      </c>
      <c r="J813" s="647">
        <v>1594771</v>
      </c>
      <c r="K813" s="647" t="s">
        <v>4044</v>
      </c>
      <c r="L813" s="647" t="s">
        <v>7516</v>
      </c>
      <c r="M813" s="647" t="s">
        <v>3826</v>
      </c>
      <c r="N813" s="648">
        <v>40483</v>
      </c>
    </row>
    <row r="814" spans="1:14" x14ac:dyDescent="0.35">
      <c r="A814" s="647">
        <v>6088</v>
      </c>
      <c r="B814" s="647" t="s">
        <v>7517</v>
      </c>
      <c r="C814" s="647" t="s">
        <v>7518</v>
      </c>
      <c r="D814" s="647" t="s">
        <v>3517</v>
      </c>
      <c r="E814" s="647" t="s">
        <v>3513</v>
      </c>
      <c r="F814" s="647">
        <v>29108</v>
      </c>
      <c r="G814" s="647" t="s">
        <v>7519</v>
      </c>
      <c r="H814" s="647" t="s">
        <v>3944</v>
      </c>
      <c r="I814" s="647" t="s">
        <v>4502</v>
      </c>
      <c r="J814" s="647">
        <v>372921</v>
      </c>
      <c r="K814" s="647" t="s">
        <v>3824</v>
      </c>
      <c r="L814" s="647" t="s">
        <v>7520</v>
      </c>
      <c r="M814" s="647" t="s">
        <v>3826</v>
      </c>
      <c r="N814" s="648">
        <v>40178</v>
      </c>
    </row>
    <row r="815" spans="1:14" x14ac:dyDescent="0.35">
      <c r="A815" s="647">
        <v>6089</v>
      </c>
      <c r="B815" s="647" t="s">
        <v>7521</v>
      </c>
      <c r="C815" s="647" t="s">
        <v>7522</v>
      </c>
      <c r="D815" s="647" t="s">
        <v>3519</v>
      </c>
      <c r="E815" s="647" t="s">
        <v>3513</v>
      </c>
      <c r="F815" s="647">
        <v>29572</v>
      </c>
      <c r="G815" s="647" t="s">
        <v>7523</v>
      </c>
      <c r="H815" s="647" t="s">
        <v>3944</v>
      </c>
      <c r="I815" s="647" t="s">
        <v>4502</v>
      </c>
      <c r="J815" s="647">
        <v>1577588</v>
      </c>
      <c r="K815" s="647" t="s">
        <v>4259</v>
      </c>
      <c r="L815" s="647" t="s">
        <v>7524</v>
      </c>
      <c r="M815" s="647" t="s">
        <v>3826</v>
      </c>
      <c r="N815" s="648">
        <v>40178</v>
      </c>
    </row>
    <row r="816" spans="1:14" x14ac:dyDescent="0.35">
      <c r="A816" s="647">
        <v>6094</v>
      </c>
      <c r="B816" s="647" t="s">
        <v>7525</v>
      </c>
      <c r="C816" s="647" t="s">
        <v>7526</v>
      </c>
      <c r="D816" s="647" t="s">
        <v>3521</v>
      </c>
      <c r="E816" s="647" t="s">
        <v>3513</v>
      </c>
      <c r="F816" s="647">
        <v>29461</v>
      </c>
      <c r="G816" s="647" t="s">
        <v>7527</v>
      </c>
      <c r="H816" s="649"/>
      <c r="I816" s="649"/>
      <c r="J816" s="647">
        <v>435483</v>
      </c>
      <c r="K816" s="647" t="s">
        <v>3978</v>
      </c>
      <c r="L816" s="647" t="s">
        <v>7528</v>
      </c>
      <c r="M816" s="647" t="s">
        <v>3826</v>
      </c>
      <c r="N816" s="648" t="e">
        <v>#N/A</v>
      </c>
    </row>
    <row r="817" spans="1:14" x14ac:dyDescent="0.35">
      <c r="A817" s="647">
        <v>6097</v>
      </c>
      <c r="B817" s="647" t="s">
        <v>7529</v>
      </c>
      <c r="C817" s="647" t="s">
        <v>7530</v>
      </c>
      <c r="D817" s="647" t="s">
        <v>3523</v>
      </c>
      <c r="E817" s="647" t="s">
        <v>3513</v>
      </c>
      <c r="F817" s="647">
        <v>29461</v>
      </c>
      <c r="G817" s="647" t="s">
        <v>7531</v>
      </c>
      <c r="H817" s="647" t="s">
        <v>3822</v>
      </c>
      <c r="I817" s="647" t="s">
        <v>4123</v>
      </c>
      <c r="J817" s="647"/>
      <c r="K817" s="647" t="s">
        <v>7532</v>
      </c>
      <c r="L817" s="647" t="s">
        <v>7533</v>
      </c>
      <c r="M817" s="647" t="s">
        <v>3826</v>
      </c>
      <c r="N817" s="648" t="e">
        <v>#N/A</v>
      </c>
    </row>
    <row r="818" spans="1:14" x14ac:dyDescent="0.35">
      <c r="A818" s="647">
        <v>6099</v>
      </c>
      <c r="B818" s="647" t="s">
        <v>7534</v>
      </c>
      <c r="C818" s="647" t="s">
        <v>7535</v>
      </c>
      <c r="D818" s="647" t="s">
        <v>3525</v>
      </c>
      <c r="E818" s="647" t="s">
        <v>3513</v>
      </c>
      <c r="F818" s="647">
        <v>29483</v>
      </c>
      <c r="G818" s="647" t="s">
        <v>7536</v>
      </c>
      <c r="H818" s="647" t="s">
        <v>3944</v>
      </c>
      <c r="I818" s="647" t="s">
        <v>4502</v>
      </c>
      <c r="J818" s="647">
        <v>2995738</v>
      </c>
      <c r="K818" s="647" t="s">
        <v>4628</v>
      </c>
      <c r="L818" s="647" t="s">
        <v>7537</v>
      </c>
      <c r="M818" s="647" t="s">
        <v>3826</v>
      </c>
      <c r="N818" s="648">
        <v>40360</v>
      </c>
    </row>
    <row r="819" spans="1:14" x14ac:dyDescent="0.35">
      <c r="A819" s="647">
        <v>6102</v>
      </c>
      <c r="B819" s="647" t="s">
        <v>7538</v>
      </c>
      <c r="C819" s="647" t="s">
        <v>7539</v>
      </c>
      <c r="D819" s="647" t="s">
        <v>3527</v>
      </c>
      <c r="E819" s="647" t="s">
        <v>3513</v>
      </c>
      <c r="F819" s="647">
        <v>29678</v>
      </c>
      <c r="G819" s="647" t="s">
        <v>7540</v>
      </c>
      <c r="H819" s="649"/>
      <c r="I819" s="649"/>
      <c r="J819" s="647">
        <v>195945</v>
      </c>
      <c r="K819" s="647" t="s">
        <v>7541</v>
      </c>
      <c r="L819" s="647" t="s">
        <v>7542</v>
      </c>
      <c r="M819" s="647" t="s">
        <v>3826</v>
      </c>
      <c r="N819" s="648" t="e">
        <v>#N/A</v>
      </c>
    </row>
    <row r="820" spans="1:14" x14ac:dyDescent="0.35">
      <c r="A820" s="647">
        <v>6106</v>
      </c>
      <c r="B820" s="647" t="s">
        <v>7543</v>
      </c>
      <c r="C820" s="647" t="s">
        <v>7544</v>
      </c>
      <c r="D820" s="647" t="s">
        <v>2353</v>
      </c>
      <c r="E820" s="647" t="s">
        <v>3513</v>
      </c>
      <c r="F820" s="647">
        <v>29325</v>
      </c>
      <c r="G820" s="647" t="s">
        <v>7545</v>
      </c>
      <c r="H820" s="647" t="s">
        <v>3822</v>
      </c>
      <c r="I820" s="647" t="s">
        <v>3823</v>
      </c>
      <c r="J820" s="647">
        <v>867145</v>
      </c>
      <c r="K820" s="647" t="s">
        <v>5899</v>
      </c>
      <c r="L820" s="647" t="s">
        <v>7546</v>
      </c>
      <c r="M820" s="647" t="s">
        <v>3826</v>
      </c>
      <c r="N820" s="648" t="e">
        <v>#N/A</v>
      </c>
    </row>
    <row r="821" spans="1:14" x14ac:dyDescent="0.35">
      <c r="A821" s="647">
        <v>6110</v>
      </c>
      <c r="B821" s="647" t="s">
        <v>7547</v>
      </c>
      <c r="C821" s="647" t="s">
        <v>7548</v>
      </c>
      <c r="D821" s="647" t="s">
        <v>7549</v>
      </c>
      <c r="E821" s="647" t="s">
        <v>3513</v>
      </c>
      <c r="F821" s="647">
        <v>29116</v>
      </c>
      <c r="G821" s="647" t="s">
        <v>7550</v>
      </c>
      <c r="H821" s="649"/>
      <c r="I821" s="649"/>
      <c r="J821" s="647"/>
      <c r="K821" s="647" t="s">
        <v>7551</v>
      </c>
      <c r="L821" s="647" t="s">
        <v>7552</v>
      </c>
      <c r="M821" s="647" t="s">
        <v>3826</v>
      </c>
      <c r="N821" s="648" t="e">
        <v>#N/A</v>
      </c>
    </row>
    <row r="822" spans="1:14" x14ac:dyDescent="0.35">
      <c r="A822" s="647">
        <v>6112</v>
      </c>
      <c r="B822" s="647" t="s">
        <v>7553</v>
      </c>
      <c r="C822" s="647" t="s">
        <v>7554</v>
      </c>
      <c r="D822" s="647" t="s">
        <v>2867</v>
      </c>
      <c r="E822" s="647" t="s">
        <v>3513</v>
      </c>
      <c r="F822" s="647">
        <v>29201</v>
      </c>
      <c r="G822" s="647" t="s">
        <v>7555</v>
      </c>
      <c r="H822" s="647" t="s">
        <v>3944</v>
      </c>
      <c r="I822" s="647" t="s">
        <v>3937</v>
      </c>
      <c r="J822" s="647">
        <v>6142483</v>
      </c>
      <c r="K822" s="647" t="s">
        <v>3233</v>
      </c>
      <c r="L822" s="647" t="s">
        <v>7556</v>
      </c>
      <c r="M822" s="647" t="s">
        <v>3826</v>
      </c>
      <c r="N822" s="648" t="e">
        <v>#N/A</v>
      </c>
    </row>
    <row r="823" spans="1:14" x14ac:dyDescent="0.35">
      <c r="A823" s="647">
        <v>6113</v>
      </c>
      <c r="B823" s="647" t="s">
        <v>7557</v>
      </c>
      <c r="C823" s="647" t="s">
        <v>7558</v>
      </c>
      <c r="D823" s="647" t="s">
        <v>3531</v>
      </c>
      <c r="E823" s="647" t="s">
        <v>3513</v>
      </c>
      <c r="F823" s="647">
        <v>29550</v>
      </c>
      <c r="G823" s="647" t="s">
        <v>7559</v>
      </c>
      <c r="H823" s="647" t="s">
        <v>3944</v>
      </c>
      <c r="I823" s="647" t="s">
        <v>3977</v>
      </c>
      <c r="J823" s="647">
        <v>2447777</v>
      </c>
      <c r="K823" s="647" t="s">
        <v>5085</v>
      </c>
      <c r="L823" s="647" t="s">
        <v>7560</v>
      </c>
      <c r="M823" s="647" t="s">
        <v>3826</v>
      </c>
      <c r="N823" s="648">
        <v>40360</v>
      </c>
    </row>
    <row r="824" spans="1:14" x14ac:dyDescent="0.35">
      <c r="A824" s="647">
        <v>6120</v>
      </c>
      <c r="B824" s="647" t="s">
        <v>7561</v>
      </c>
      <c r="C824" s="647" t="s">
        <v>7562</v>
      </c>
      <c r="D824" s="647" t="s">
        <v>3533</v>
      </c>
      <c r="E824" s="647" t="s">
        <v>3513</v>
      </c>
      <c r="F824" s="647">
        <v>29640</v>
      </c>
      <c r="G824" s="647" t="s">
        <v>7563</v>
      </c>
      <c r="H824" s="647" t="s">
        <v>3944</v>
      </c>
      <c r="I824" s="647" t="s">
        <v>4502</v>
      </c>
      <c r="J824" s="647">
        <v>2667563</v>
      </c>
      <c r="K824" s="647" t="s">
        <v>7564</v>
      </c>
      <c r="L824" s="647" t="s">
        <v>4125</v>
      </c>
      <c r="M824" s="647" t="s">
        <v>3826</v>
      </c>
      <c r="N824" s="648">
        <v>40179</v>
      </c>
    </row>
    <row r="825" spans="1:14" x14ac:dyDescent="0.35">
      <c r="A825" s="647">
        <v>6121</v>
      </c>
      <c r="B825" s="647" t="s">
        <v>7565</v>
      </c>
      <c r="C825" s="647" t="s">
        <v>7566</v>
      </c>
      <c r="D825" s="647" t="s">
        <v>3535</v>
      </c>
      <c r="E825" s="647" t="s">
        <v>3513</v>
      </c>
      <c r="F825" s="647">
        <v>29340</v>
      </c>
      <c r="G825" s="647" t="s">
        <v>7567</v>
      </c>
      <c r="H825" s="649"/>
      <c r="I825" s="649"/>
      <c r="J825" s="647">
        <v>1561307</v>
      </c>
      <c r="K825" s="647" t="s">
        <v>4453</v>
      </c>
      <c r="L825" s="647" t="s">
        <v>7568</v>
      </c>
      <c r="M825" s="647" t="s">
        <v>3826</v>
      </c>
      <c r="N825" s="648" t="e">
        <v>#N/A</v>
      </c>
    </row>
    <row r="826" spans="1:14" x14ac:dyDescent="0.35">
      <c r="A826" s="647">
        <v>6122</v>
      </c>
      <c r="B826" s="647" t="s">
        <v>7569</v>
      </c>
      <c r="C826" s="647" t="s">
        <v>7570</v>
      </c>
      <c r="D826" s="647" t="s">
        <v>2037</v>
      </c>
      <c r="E826" s="647" t="s">
        <v>3513</v>
      </c>
      <c r="F826" s="647">
        <v>29505</v>
      </c>
      <c r="G826" s="647" t="s">
        <v>7571</v>
      </c>
      <c r="H826" s="647" t="s">
        <v>3944</v>
      </c>
      <c r="I826" s="647" t="s">
        <v>3977</v>
      </c>
      <c r="J826" s="647">
        <v>2250031</v>
      </c>
      <c r="K826" s="647" t="s">
        <v>3824</v>
      </c>
      <c r="L826" s="647" t="s">
        <v>2361</v>
      </c>
      <c r="M826" s="647" t="s">
        <v>3826</v>
      </c>
      <c r="N826" s="648">
        <v>40268</v>
      </c>
    </row>
    <row r="827" spans="1:14" x14ac:dyDescent="0.35">
      <c r="A827" s="647">
        <v>6124</v>
      </c>
      <c r="B827" s="647" t="s">
        <v>7572</v>
      </c>
      <c r="C827" s="647" t="s">
        <v>7573</v>
      </c>
      <c r="D827" s="647" t="s">
        <v>2858</v>
      </c>
      <c r="E827" s="647" t="s">
        <v>3513</v>
      </c>
      <c r="F827" s="647">
        <v>29601</v>
      </c>
      <c r="G827" s="647" t="s">
        <v>7574</v>
      </c>
      <c r="H827" s="647" t="s">
        <v>3944</v>
      </c>
      <c r="I827" s="647" t="s">
        <v>3977</v>
      </c>
      <c r="J827" s="647">
        <v>11577677</v>
      </c>
      <c r="K827" s="647" t="s">
        <v>7575</v>
      </c>
      <c r="L827" s="647" t="s">
        <v>7576</v>
      </c>
      <c r="M827" s="647" t="s">
        <v>3826</v>
      </c>
      <c r="N827" s="648">
        <v>40178</v>
      </c>
    </row>
    <row r="828" spans="1:14" x14ac:dyDescent="0.35">
      <c r="A828" s="647">
        <v>6125</v>
      </c>
      <c r="B828" s="647" t="s">
        <v>7577</v>
      </c>
      <c r="C828" s="647" t="s">
        <v>7578</v>
      </c>
      <c r="D828" s="647" t="s">
        <v>3539</v>
      </c>
      <c r="E828" s="647" t="s">
        <v>3513</v>
      </c>
      <c r="F828" s="647">
        <v>29649</v>
      </c>
      <c r="G828" s="647" t="s">
        <v>7579</v>
      </c>
      <c r="H828" s="647" t="s">
        <v>3944</v>
      </c>
      <c r="I828" s="647" t="s">
        <v>4502</v>
      </c>
      <c r="J828" s="647">
        <v>2592065</v>
      </c>
      <c r="K828" s="647" t="s">
        <v>7580</v>
      </c>
      <c r="L828" s="647" t="s">
        <v>7581</v>
      </c>
      <c r="M828" s="647" t="s">
        <v>3826</v>
      </c>
      <c r="N828" s="648">
        <v>40292</v>
      </c>
    </row>
    <row r="829" spans="1:14" x14ac:dyDescent="0.35">
      <c r="A829" s="647">
        <v>6128</v>
      </c>
      <c r="B829" s="647" t="s">
        <v>7582</v>
      </c>
      <c r="C829" s="647" t="s">
        <v>7583</v>
      </c>
      <c r="D829" s="647" t="s">
        <v>3541</v>
      </c>
      <c r="E829" s="647" t="s">
        <v>3513</v>
      </c>
      <c r="F829" s="647">
        <v>29730</v>
      </c>
      <c r="G829" s="647" t="s">
        <v>7584</v>
      </c>
      <c r="H829" s="647" t="s">
        <v>3944</v>
      </c>
      <c r="I829" s="647" t="s">
        <v>3977</v>
      </c>
      <c r="J829" s="647">
        <v>9941442</v>
      </c>
      <c r="K829" s="647" t="s">
        <v>7585</v>
      </c>
      <c r="L829" s="647" t="s">
        <v>7586</v>
      </c>
      <c r="M829" s="647" t="s">
        <v>3826</v>
      </c>
      <c r="N829" s="648">
        <v>40374</v>
      </c>
    </row>
    <row r="830" spans="1:14" x14ac:dyDescent="0.35">
      <c r="A830" s="647">
        <v>6130</v>
      </c>
      <c r="B830" s="647" t="s">
        <v>7587</v>
      </c>
      <c r="C830" s="647" t="s">
        <v>7588</v>
      </c>
      <c r="D830" s="647" t="s">
        <v>3543</v>
      </c>
      <c r="E830" s="647" t="s">
        <v>3513</v>
      </c>
      <c r="F830" s="647">
        <v>29360</v>
      </c>
      <c r="G830" s="647" t="s">
        <v>7589</v>
      </c>
      <c r="H830" s="647" t="s">
        <v>3944</v>
      </c>
      <c r="I830" s="647" t="s">
        <v>4502</v>
      </c>
      <c r="J830" s="647">
        <v>1057485</v>
      </c>
      <c r="K830" s="647" t="s">
        <v>4558</v>
      </c>
      <c r="L830" s="647" t="s">
        <v>7590</v>
      </c>
      <c r="M830" s="647" t="s">
        <v>3826</v>
      </c>
      <c r="N830" s="648">
        <v>40394</v>
      </c>
    </row>
    <row r="831" spans="1:14" x14ac:dyDescent="0.35">
      <c r="A831" s="647">
        <v>6132</v>
      </c>
      <c r="B831" s="647" t="s">
        <v>7591</v>
      </c>
      <c r="C831" s="647" t="s">
        <v>7592</v>
      </c>
      <c r="D831" s="647" t="s">
        <v>3545</v>
      </c>
      <c r="E831" s="647" t="s">
        <v>3513</v>
      </c>
      <c r="F831" s="647">
        <v>29302</v>
      </c>
      <c r="G831" s="647" t="s">
        <v>7593</v>
      </c>
      <c r="H831" s="647" t="s">
        <v>3944</v>
      </c>
      <c r="I831" s="647" t="s">
        <v>4502</v>
      </c>
      <c r="J831" s="647">
        <v>3756983</v>
      </c>
      <c r="K831" s="647" t="s">
        <v>4169</v>
      </c>
      <c r="L831" s="647" t="s">
        <v>7594</v>
      </c>
      <c r="M831" s="647" t="s">
        <v>3826</v>
      </c>
      <c r="N831" s="648">
        <v>40383</v>
      </c>
    </row>
    <row r="832" spans="1:14" x14ac:dyDescent="0.35">
      <c r="A832" s="647">
        <v>6138</v>
      </c>
      <c r="B832" s="647" t="s">
        <v>7595</v>
      </c>
      <c r="C832" s="647" t="s">
        <v>7596</v>
      </c>
      <c r="D832" s="647" t="s">
        <v>3547</v>
      </c>
      <c r="E832" s="647" t="s">
        <v>3513</v>
      </c>
      <c r="F832" s="647">
        <v>29150</v>
      </c>
      <c r="G832" s="647" t="s">
        <v>7597</v>
      </c>
      <c r="H832" s="647" t="s">
        <v>3944</v>
      </c>
      <c r="I832" s="647" t="s">
        <v>4502</v>
      </c>
      <c r="J832" s="647">
        <v>2073299</v>
      </c>
      <c r="K832" s="647" t="s">
        <v>7598</v>
      </c>
      <c r="L832" s="647" t="s">
        <v>7599</v>
      </c>
      <c r="M832" s="647" t="s">
        <v>3826</v>
      </c>
      <c r="N832" s="648">
        <v>40162</v>
      </c>
    </row>
    <row r="833" spans="1:14" x14ac:dyDescent="0.35">
      <c r="A833" s="647">
        <v>6140</v>
      </c>
      <c r="B833" s="647" t="s">
        <v>5317</v>
      </c>
      <c r="C833" s="647" t="s">
        <v>7600</v>
      </c>
      <c r="D833" s="647" t="s">
        <v>3548</v>
      </c>
      <c r="E833" s="647" t="s">
        <v>3513</v>
      </c>
      <c r="F833" s="647">
        <v>29379</v>
      </c>
      <c r="G833" s="647" t="s">
        <v>7601</v>
      </c>
      <c r="H833" s="647" t="s">
        <v>3944</v>
      </c>
      <c r="I833" s="647" t="s">
        <v>4502</v>
      </c>
      <c r="J833" s="647">
        <v>545938</v>
      </c>
      <c r="K833" s="647" t="s">
        <v>3855</v>
      </c>
      <c r="L833" s="647" t="s">
        <v>7602</v>
      </c>
      <c r="M833" s="647" t="s">
        <v>4078</v>
      </c>
      <c r="N833" s="648">
        <v>40360</v>
      </c>
    </row>
    <row r="834" spans="1:14" x14ac:dyDescent="0.35">
      <c r="A834" s="647">
        <v>6146</v>
      </c>
      <c r="B834" s="647" t="s">
        <v>7603</v>
      </c>
      <c r="C834" s="647" t="s">
        <v>7604</v>
      </c>
      <c r="D834" s="647" t="s">
        <v>3550</v>
      </c>
      <c r="E834" s="647" t="s">
        <v>3551</v>
      </c>
      <c r="F834" s="647" t="s">
        <v>7605</v>
      </c>
      <c r="G834" s="647" t="s">
        <v>7606</v>
      </c>
      <c r="H834" s="647" t="s">
        <v>3994</v>
      </c>
      <c r="I834" s="647" t="s">
        <v>5257</v>
      </c>
      <c r="J834" s="647">
        <v>2781370</v>
      </c>
      <c r="K834" s="647" t="s">
        <v>5301</v>
      </c>
      <c r="L834" s="647" t="s">
        <v>7607</v>
      </c>
      <c r="M834" s="647" t="s">
        <v>3826</v>
      </c>
      <c r="N834" s="648">
        <v>40452</v>
      </c>
    </row>
    <row r="835" spans="1:14" x14ac:dyDescent="0.35">
      <c r="A835" s="647">
        <v>6148</v>
      </c>
      <c r="B835" s="647" t="s">
        <v>7608</v>
      </c>
      <c r="C835" s="647" t="s">
        <v>7609</v>
      </c>
      <c r="D835" s="647" t="s">
        <v>7610</v>
      </c>
      <c r="E835" s="647" t="s">
        <v>3551</v>
      </c>
      <c r="F835" s="647">
        <v>57754</v>
      </c>
      <c r="G835" s="647" t="s">
        <v>7611</v>
      </c>
      <c r="H835" s="647" t="s">
        <v>3994</v>
      </c>
      <c r="I835" s="647" t="s">
        <v>5257</v>
      </c>
      <c r="J835" s="647"/>
      <c r="K835" s="647" t="s">
        <v>4488</v>
      </c>
      <c r="L835" s="647" t="s">
        <v>7612</v>
      </c>
      <c r="M835" s="647" t="s">
        <v>7613</v>
      </c>
      <c r="N835" s="648">
        <v>40360</v>
      </c>
    </row>
    <row r="836" spans="1:14" x14ac:dyDescent="0.35">
      <c r="A836" s="647">
        <v>6154</v>
      </c>
      <c r="B836" s="647" t="s">
        <v>7614</v>
      </c>
      <c r="C836" s="647" t="s">
        <v>7615</v>
      </c>
      <c r="D836" s="647" t="s">
        <v>3553</v>
      </c>
      <c r="E836" s="647" t="s">
        <v>3551</v>
      </c>
      <c r="F836" s="647">
        <v>57701</v>
      </c>
      <c r="G836" s="647" t="s">
        <v>7616</v>
      </c>
      <c r="H836" s="647" t="s">
        <v>3994</v>
      </c>
      <c r="I836" s="647" t="s">
        <v>5257</v>
      </c>
      <c r="J836" s="647">
        <v>4937625</v>
      </c>
      <c r="K836" s="647" t="s">
        <v>5098</v>
      </c>
      <c r="L836" s="647" t="s">
        <v>7617</v>
      </c>
      <c r="M836" s="647" t="s">
        <v>3826</v>
      </c>
      <c r="N836" s="648">
        <v>40452</v>
      </c>
    </row>
    <row r="837" spans="1:14" x14ac:dyDescent="0.35">
      <c r="A837" s="647">
        <v>6158</v>
      </c>
      <c r="B837" s="647" t="s">
        <v>7618</v>
      </c>
      <c r="C837" s="647" t="s">
        <v>7619</v>
      </c>
      <c r="D837" s="647" t="s">
        <v>3555</v>
      </c>
      <c r="E837" s="647" t="s">
        <v>3551</v>
      </c>
      <c r="F837" s="647">
        <v>57104</v>
      </c>
      <c r="G837" s="647" t="s">
        <v>7620</v>
      </c>
      <c r="H837" s="647" t="s">
        <v>3994</v>
      </c>
      <c r="I837" s="647" t="s">
        <v>5257</v>
      </c>
      <c r="J837" s="647">
        <v>3828538</v>
      </c>
      <c r="K837" s="647" t="s">
        <v>4044</v>
      </c>
      <c r="L837" s="647" t="s">
        <v>7621</v>
      </c>
      <c r="M837" s="647" t="s">
        <v>4221</v>
      </c>
      <c r="N837" s="648">
        <v>40391</v>
      </c>
    </row>
    <row r="838" spans="1:14" x14ac:dyDescent="0.35">
      <c r="A838" s="647">
        <v>6159</v>
      </c>
      <c r="B838" s="647" t="s">
        <v>7622</v>
      </c>
      <c r="C838" s="647" t="s">
        <v>7623</v>
      </c>
      <c r="D838" s="647" t="s">
        <v>3557</v>
      </c>
      <c r="E838" s="647" t="s">
        <v>3551</v>
      </c>
      <c r="F838" s="647">
        <v>57501</v>
      </c>
      <c r="G838" s="647" t="s">
        <v>7624</v>
      </c>
      <c r="H838" s="649"/>
      <c r="I838" s="649"/>
      <c r="J838" s="647">
        <v>1068583</v>
      </c>
      <c r="K838" s="647" t="s">
        <v>7625</v>
      </c>
      <c r="L838" s="647" t="s">
        <v>7626</v>
      </c>
      <c r="M838" s="647" t="s">
        <v>3826</v>
      </c>
      <c r="N838" s="648" t="e">
        <v>#N/A</v>
      </c>
    </row>
    <row r="839" spans="1:14" x14ac:dyDescent="0.35">
      <c r="A839" s="647">
        <v>6173</v>
      </c>
      <c r="B839" s="647" t="s">
        <v>7627</v>
      </c>
      <c r="C839" s="647" t="s">
        <v>7628</v>
      </c>
      <c r="D839" s="647" t="s">
        <v>2281</v>
      </c>
      <c r="E839" s="647" t="s">
        <v>3559</v>
      </c>
      <c r="F839" s="647">
        <v>37371</v>
      </c>
      <c r="G839" s="647" t="s">
        <v>7629</v>
      </c>
      <c r="H839" s="649"/>
      <c r="I839" s="647" t="s">
        <v>3823</v>
      </c>
      <c r="J839" s="647">
        <v>877217</v>
      </c>
      <c r="K839" s="647" t="s">
        <v>7630</v>
      </c>
      <c r="L839" s="647" t="s">
        <v>2052</v>
      </c>
      <c r="M839" s="647" t="s">
        <v>3826</v>
      </c>
      <c r="N839" s="648" t="e">
        <v>#N/A</v>
      </c>
    </row>
    <row r="840" spans="1:14" x14ac:dyDescent="0.35">
      <c r="A840" s="647">
        <v>6177</v>
      </c>
      <c r="B840" s="647" t="s">
        <v>7631</v>
      </c>
      <c r="C840" s="647" t="s">
        <v>7632</v>
      </c>
      <c r="D840" s="647" t="s">
        <v>3561</v>
      </c>
      <c r="E840" s="647" t="s">
        <v>3559</v>
      </c>
      <c r="F840" s="647">
        <v>37620</v>
      </c>
      <c r="G840" s="647" t="s">
        <v>7633</v>
      </c>
      <c r="H840" s="647" t="s">
        <v>3822</v>
      </c>
      <c r="I840" s="647" t="s">
        <v>4502</v>
      </c>
      <c r="J840" s="647">
        <v>1746469</v>
      </c>
      <c r="K840" s="647" t="s">
        <v>3912</v>
      </c>
      <c r="L840" s="647" t="s">
        <v>7634</v>
      </c>
      <c r="M840" s="647" t="s">
        <v>3826</v>
      </c>
      <c r="N840" s="648" t="e">
        <v>#N/A</v>
      </c>
    </row>
    <row r="841" spans="1:14" x14ac:dyDescent="0.35">
      <c r="A841" s="647">
        <v>6181</v>
      </c>
      <c r="B841" s="647" t="s">
        <v>7635</v>
      </c>
      <c r="C841" s="647" t="s">
        <v>7636</v>
      </c>
      <c r="D841" s="647" t="s">
        <v>3563</v>
      </c>
      <c r="E841" s="647" t="s">
        <v>3559</v>
      </c>
      <c r="F841" s="647">
        <v>37402</v>
      </c>
      <c r="G841" s="647" t="s">
        <v>7637</v>
      </c>
      <c r="H841" s="647" t="s">
        <v>3822</v>
      </c>
      <c r="I841" s="647" t="s">
        <v>3823</v>
      </c>
      <c r="J841" s="647">
        <v>12719715</v>
      </c>
      <c r="K841" s="647" t="s">
        <v>4563</v>
      </c>
      <c r="L841" s="647" t="s">
        <v>4165</v>
      </c>
      <c r="M841" s="647" t="s">
        <v>3826</v>
      </c>
      <c r="N841" s="648">
        <v>40178</v>
      </c>
    </row>
    <row r="842" spans="1:14" x14ac:dyDescent="0.35">
      <c r="A842" s="647">
        <v>6215</v>
      </c>
      <c r="B842" s="647" t="s">
        <v>7638</v>
      </c>
      <c r="C842" s="647" t="s">
        <v>7639</v>
      </c>
      <c r="D842" s="647" t="s">
        <v>7640</v>
      </c>
      <c r="E842" s="647" t="s">
        <v>3559</v>
      </c>
      <c r="F842" s="647">
        <v>38501</v>
      </c>
      <c r="G842" s="647" t="s">
        <v>7641</v>
      </c>
      <c r="H842" s="649"/>
      <c r="I842" s="649"/>
      <c r="J842" s="647"/>
      <c r="K842" s="647" t="s">
        <v>5277</v>
      </c>
      <c r="L842" s="647" t="s">
        <v>5399</v>
      </c>
      <c r="M842" s="647" t="s">
        <v>7642</v>
      </c>
      <c r="N842" s="648" t="e">
        <v>#N/A</v>
      </c>
    </row>
    <row r="843" spans="1:14" x14ac:dyDescent="0.35">
      <c r="A843" s="647">
        <v>6216</v>
      </c>
      <c r="B843" s="647" t="s">
        <v>7643</v>
      </c>
      <c r="C843" s="647" t="s">
        <v>7644</v>
      </c>
      <c r="D843" s="647" t="s">
        <v>3231</v>
      </c>
      <c r="E843" s="647" t="s">
        <v>3559</v>
      </c>
      <c r="F843" s="647">
        <v>37321</v>
      </c>
      <c r="G843" s="647" t="s">
        <v>7645</v>
      </c>
      <c r="H843" s="649"/>
      <c r="I843" s="649"/>
      <c r="J843" s="647"/>
      <c r="K843" s="647" t="s">
        <v>6526</v>
      </c>
      <c r="L843" s="647" t="s">
        <v>5607</v>
      </c>
      <c r="M843" s="647" t="s">
        <v>3826</v>
      </c>
      <c r="N843" s="648" t="e">
        <v>#N/A</v>
      </c>
    </row>
    <row r="844" spans="1:14" x14ac:dyDescent="0.35">
      <c r="A844" s="647">
        <v>6217</v>
      </c>
      <c r="B844" s="647" t="s">
        <v>7646</v>
      </c>
      <c r="C844" s="647" t="s">
        <v>7647</v>
      </c>
      <c r="D844" s="647" t="s">
        <v>3565</v>
      </c>
      <c r="E844" s="647" t="s">
        <v>3559</v>
      </c>
      <c r="F844" s="647">
        <v>29379</v>
      </c>
      <c r="G844" s="647" t="s">
        <v>7648</v>
      </c>
      <c r="H844" s="649"/>
      <c r="I844" s="649"/>
      <c r="J844" s="647">
        <v>458946</v>
      </c>
      <c r="K844" s="647" t="s">
        <v>4265</v>
      </c>
      <c r="L844" s="647" t="s">
        <v>7649</v>
      </c>
      <c r="M844" s="647" t="s">
        <v>3826</v>
      </c>
      <c r="N844" s="648" t="e">
        <v>#N/A</v>
      </c>
    </row>
    <row r="845" spans="1:14" x14ac:dyDescent="0.35">
      <c r="A845" s="647">
        <v>6219</v>
      </c>
      <c r="B845" s="647" t="s">
        <v>7650</v>
      </c>
      <c r="C845" s="647" t="s">
        <v>7651</v>
      </c>
      <c r="D845" s="647" t="s">
        <v>3567</v>
      </c>
      <c r="E845" s="647" t="s">
        <v>3559</v>
      </c>
      <c r="F845" s="647">
        <v>37745</v>
      </c>
      <c r="G845" s="647" t="s">
        <v>7652</v>
      </c>
      <c r="H845" s="647" t="s">
        <v>3822</v>
      </c>
      <c r="I845" s="647" t="s">
        <v>3823</v>
      </c>
      <c r="J845" s="647">
        <v>1508573</v>
      </c>
      <c r="K845" s="647" t="s">
        <v>4044</v>
      </c>
      <c r="L845" s="647" t="s">
        <v>7653</v>
      </c>
      <c r="M845" s="647" t="s">
        <v>3826</v>
      </c>
      <c r="N845" s="648" t="e">
        <v>#N/A</v>
      </c>
    </row>
    <row r="846" spans="1:14" x14ac:dyDescent="0.35">
      <c r="A846" s="647">
        <v>6220</v>
      </c>
      <c r="B846" s="647" t="s">
        <v>7654</v>
      </c>
      <c r="C846" s="647" t="s">
        <v>7655</v>
      </c>
      <c r="D846" s="647" t="s">
        <v>3569</v>
      </c>
      <c r="E846" s="647" t="s">
        <v>3559</v>
      </c>
      <c r="F846" s="647">
        <v>56303</v>
      </c>
      <c r="G846" s="647" t="s">
        <v>7656</v>
      </c>
      <c r="H846" s="649"/>
      <c r="I846" s="649"/>
      <c r="J846" s="647">
        <v>140541</v>
      </c>
      <c r="K846" s="647" t="s">
        <v>3918</v>
      </c>
      <c r="L846" s="647" t="s">
        <v>7657</v>
      </c>
      <c r="M846" s="647" t="s">
        <v>3826</v>
      </c>
      <c r="N846" s="648" t="e">
        <v>#N/A</v>
      </c>
    </row>
    <row r="847" spans="1:14" x14ac:dyDescent="0.35">
      <c r="A847" s="647">
        <v>6221</v>
      </c>
      <c r="B847" s="647" t="s">
        <v>5712</v>
      </c>
      <c r="C847" s="647" t="s">
        <v>7658</v>
      </c>
      <c r="D847" s="647" t="s">
        <v>2796</v>
      </c>
      <c r="E847" s="647" t="s">
        <v>3559</v>
      </c>
      <c r="F847" s="647">
        <v>38305</v>
      </c>
      <c r="G847" s="647" t="s">
        <v>7659</v>
      </c>
      <c r="H847" s="647" t="s">
        <v>3822</v>
      </c>
      <c r="I847" s="647" t="s">
        <v>3823</v>
      </c>
      <c r="J847" s="647">
        <v>2035999</v>
      </c>
      <c r="K847" s="647" t="s">
        <v>4044</v>
      </c>
      <c r="L847" s="647" t="s">
        <v>7660</v>
      </c>
      <c r="M847" s="647" t="s">
        <v>3826</v>
      </c>
      <c r="N847" s="648">
        <v>40178</v>
      </c>
    </row>
    <row r="848" spans="1:14" x14ac:dyDescent="0.35">
      <c r="A848" s="647">
        <v>6225</v>
      </c>
      <c r="B848" s="647" t="s">
        <v>7661</v>
      </c>
      <c r="C848" s="647" t="s">
        <v>7662</v>
      </c>
      <c r="D848" s="647" t="s">
        <v>3572</v>
      </c>
      <c r="E848" s="647" t="s">
        <v>3559</v>
      </c>
      <c r="F848" s="647">
        <v>37922</v>
      </c>
      <c r="G848" s="647" t="s">
        <v>7663</v>
      </c>
      <c r="H848" s="647" t="s">
        <v>3822</v>
      </c>
      <c r="I848" s="647" t="s">
        <v>3823</v>
      </c>
      <c r="J848" s="647">
        <v>6082371</v>
      </c>
      <c r="K848" s="647" t="s">
        <v>3835</v>
      </c>
      <c r="L848" s="647" t="s">
        <v>7533</v>
      </c>
      <c r="M848" s="647" t="s">
        <v>3826</v>
      </c>
      <c r="N848" s="648">
        <v>40360</v>
      </c>
    </row>
    <row r="849" spans="1:14" x14ac:dyDescent="0.35">
      <c r="A849" s="647">
        <v>6230</v>
      </c>
      <c r="B849" s="647" t="s">
        <v>7664</v>
      </c>
      <c r="C849" s="647" t="s">
        <v>7665</v>
      </c>
      <c r="D849" s="647" t="s">
        <v>3574</v>
      </c>
      <c r="E849" s="647" t="s">
        <v>3559</v>
      </c>
      <c r="F849" s="647">
        <v>38025</v>
      </c>
      <c r="G849" s="647" t="s">
        <v>7666</v>
      </c>
      <c r="H849" s="647" t="s">
        <v>3822</v>
      </c>
      <c r="I849" s="647" t="s">
        <v>3823</v>
      </c>
      <c r="J849" s="647">
        <v>412949</v>
      </c>
      <c r="K849" s="647" t="s">
        <v>4563</v>
      </c>
      <c r="L849" s="647" t="s">
        <v>3376</v>
      </c>
      <c r="M849" s="647" t="s">
        <v>3826</v>
      </c>
      <c r="N849" s="648">
        <v>40252</v>
      </c>
    </row>
    <row r="850" spans="1:14" x14ac:dyDescent="0.35">
      <c r="A850" s="647">
        <v>6238</v>
      </c>
      <c r="B850" s="647" t="s">
        <v>7667</v>
      </c>
      <c r="C850" s="647" t="s">
        <v>7668</v>
      </c>
      <c r="D850" s="647" t="s">
        <v>2964</v>
      </c>
      <c r="E850" s="647" t="s">
        <v>3559</v>
      </c>
      <c r="F850" s="647">
        <v>37355</v>
      </c>
      <c r="G850" s="647" t="s">
        <v>7669</v>
      </c>
      <c r="H850" s="649"/>
      <c r="I850" s="649"/>
      <c r="J850" s="647"/>
      <c r="K850" s="647" t="s">
        <v>7670</v>
      </c>
      <c r="L850" s="649"/>
      <c r="M850" s="647" t="s">
        <v>3826</v>
      </c>
      <c r="N850" s="648" t="e">
        <v>#N/A</v>
      </c>
    </row>
    <row r="851" spans="1:14" x14ac:dyDescent="0.35">
      <c r="A851" s="647">
        <v>6243</v>
      </c>
      <c r="B851" s="647" t="s">
        <v>7671</v>
      </c>
      <c r="C851" s="647" t="s">
        <v>7672</v>
      </c>
      <c r="D851" s="647" t="s">
        <v>3576</v>
      </c>
      <c r="E851" s="647" t="s">
        <v>3559</v>
      </c>
      <c r="F851" s="647">
        <v>37664</v>
      </c>
      <c r="G851" s="647" t="s">
        <v>7673</v>
      </c>
      <c r="H851" s="647" t="s">
        <v>3944</v>
      </c>
      <c r="I851" s="647" t="s">
        <v>3823</v>
      </c>
      <c r="J851" s="647">
        <v>1980505</v>
      </c>
      <c r="K851" s="647" t="s">
        <v>5251</v>
      </c>
      <c r="L851" s="647" t="s">
        <v>7674</v>
      </c>
      <c r="M851" s="647" t="s">
        <v>4078</v>
      </c>
      <c r="N851" s="648">
        <v>40360</v>
      </c>
    </row>
    <row r="852" spans="1:14" x14ac:dyDescent="0.35">
      <c r="A852" s="647">
        <v>6245</v>
      </c>
      <c r="B852" s="647" t="s">
        <v>7675</v>
      </c>
      <c r="C852" s="647" t="s">
        <v>7676</v>
      </c>
      <c r="D852" s="647" t="s">
        <v>3578</v>
      </c>
      <c r="E852" s="647" t="s">
        <v>3559</v>
      </c>
      <c r="F852" s="647">
        <v>38017</v>
      </c>
      <c r="G852" s="647" t="s">
        <v>7677</v>
      </c>
      <c r="H852" s="649"/>
      <c r="I852" s="649"/>
      <c r="J852" s="647">
        <v>16621881</v>
      </c>
      <c r="K852" s="647" t="s">
        <v>6940</v>
      </c>
      <c r="L852" s="647" t="s">
        <v>5206</v>
      </c>
      <c r="M852" s="647" t="s">
        <v>3826</v>
      </c>
      <c r="N852" s="648" t="e">
        <v>#N/A</v>
      </c>
    </row>
    <row r="853" spans="1:14" x14ac:dyDescent="0.35">
      <c r="A853" s="647">
        <v>6259</v>
      </c>
      <c r="B853" s="647" t="s">
        <v>7678</v>
      </c>
      <c r="C853" s="647" t="s">
        <v>7679</v>
      </c>
      <c r="D853" s="647" t="s">
        <v>3580</v>
      </c>
      <c r="E853" s="647" t="s">
        <v>3559</v>
      </c>
      <c r="F853" s="647">
        <v>38358</v>
      </c>
      <c r="G853" s="647" t="s">
        <v>7680</v>
      </c>
      <c r="H853" s="647" t="s">
        <v>3822</v>
      </c>
      <c r="I853" s="647" t="s">
        <v>3823</v>
      </c>
      <c r="J853" s="647">
        <v>431729</v>
      </c>
      <c r="K853" s="647" t="s">
        <v>5542</v>
      </c>
      <c r="L853" s="647" t="s">
        <v>7681</v>
      </c>
      <c r="M853" s="647" t="s">
        <v>3826</v>
      </c>
      <c r="N853" s="648">
        <v>40179</v>
      </c>
    </row>
    <row r="854" spans="1:14" x14ac:dyDescent="0.35">
      <c r="A854" s="647">
        <v>6273</v>
      </c>
      <c r="B854" s="647" t="s">
        <v>7682</v>
      </c>
      <c r="C854" s="647" t="s">
        <v>7683</v>
      </c>
      <c r="D854" s="647" t="s">
        <v>2473</v>
      </c>
      <c r="E854" s="647" t="s">
        <v>3559</v>
      </c>
      <c r="F854" s="647">
        <v>37203</v>
      </c>
      <c r="G854" s="647" t="s">
        <v>7684</v>
      </c>
      <c r="H854" s="647" t="s">
        <v>3822</v>
      </c>
      <c r="I854" s="647" t="s">
        <v>3823</v>
      </c>
      <c r="J854" s="647">
        <v>78850314</v>
      </c>
      <c r="K854" s="647" t="s">
        <v>7685</v>
      </c>
      <c r="L854" s="647" t="s">
        <v>5206</v>
      </c>
      <c r="M854" s="647" t="s">
        <v>3836</v>
      </c>
      <c r="N854" s="648">
        <v>40178</v>
      </c>
    </row>
    <row r="855" spans="1:14" x14ac:dyDescent="0.35">
      <c r="A855" s="647">
        <v>6309</v>
      </c>
      <c r="B855" s="647" t="s">
        <v>7686</v>
      </c>
      <c r="C855" s="647" t="s">
        <v>7687</v>
      </c>
      <c r="D855" s="647" t="s">
        <v>3583</v>
      </c>
      <c r="E855" s="647" t="s">
        <v>3584</v>
      </c>
      <c r="F855" s="647">
        <v>79603</v>
      </c>
      <c r="G855" s="647" t="s">
        <v>7688</v>
      </c>
      <c r="H855" s="647" t="s">
        <v>5875</v>
      </c>
      <c r="I855" s="647" t="s">
        <v>3977</v>
      </c>
      <c r="J855" s="647">
        <v>1720784</v>
      </c>
      <c r="K855" s="647" t="s">
        <v>7689</v>
      </c>
      <c r="L855" s="647" t="s">
        <v>7690</v>
      </c>
      <c r="M855" s="647" t="s">
        <v>3826</v>
      </c>
      <c r="N855" s="648">
        <v>40178</v>
      </c>
    </row>
    <row r="856" spans="1:14" x14ac:dyDescent="0.35">
      <c r="A856" s="647">
        <v>6313</v>
      </c>
      <c r="B856" s="647" t="s">
        <v>7691</v>
      </c>
      <c r="C856" s="647" t="s">
        <v>7692</v>
      </c>
      <c r="D856" s="647" t="s">
        <v>3586</v>
      </c>
      <c r="E856" s="647" t="s">
        <v>3584</v>
      </c>
      <c r="F856" s="647" t="s">
        <v>7693</v>
      </c>
      <c r="G856" s="647" t="s">
        <v>7694</v>
      </c>
      <c r="H856" s="647" t="s">
        <v>3917</v>
      </c>
      <c r="I856" s="647" t="s">
        <v>3977</v>
      </c>
      <c r="J856" s="647">
        <v>2429401</v>
      </c>
      <c r="K856" s="647" t="s">
        <v>7625</v>
      </c>
      <c r="L856" s="647" t="s">
        <v>7626</v>
      </c>
      <c r="M856" s="647" t="s">
        <v>3826</v>
      </c>
      <c r="N856" s="648" t="e">
        <v>#N/A</v>
      </c>
    </row>
    <row r="857" spans="1:14" x14ac:dyDescent="0.35">
      <c r="A857" s="647">
        <v>6321</v>
      </c>
      <c r="B857" s="647" t="s">
        <v>7695</v>
      </c>
      <c r="C857" s="647" t="s">
        <v>7696</v>
      </c>
      <c r="D857" s="647" t="s">
        <v>3588</v>
      </c>
      <c r="E857" s="647" t="s">
        <v>3584</v>
      </c>
      <c r="F857" s="647">
        <v>76013</v>
      </c>
      <c r="G857" s="647" t="s">
        <v>7697</v>
      </c>
      <c r="H857" s="647" t="s">
        <v>5875</v>
      </c>
      <c r="I857" s="647" t="s">
        <v>3977</v>
      </c>
      <c r="J857" s="647">
        <v>8319893</v>
      </c>
      <c r="K857" s="647" t="s">
        <v>7698</v>
      </c>
      <c r="L857" s="647" t="s">
        <v>3945</v>
      </c>
      <c r="M857" s="647" t="s">
        <v>3826</v>
      </c>
      <c r="N857" s="648">
        <v>40178</v>
      </c>
    </row>
    <row r="858" spans="1:14" x14ac:dyDescent="0.35">
      <c r="A858" s="647">
        <v>6322</v>
      </c>
      <c r="B858" s="647" t="s">
        <v>6607</v>
      </c>
      <c r="C858" s="647" t="s">
        <v>7699</v>
      </c>
      <c r="D858" s="647" t="s">
        <v>2281</v>
      </c>
      <c r="E858" s="647" t="s">
        <v>3584</v>
      </c>
      <c r="F858" s="647">
        <v>75751</v>
      </c>
      <c r="G858" s="647" t="s">
        <v>7700</v>
      </c>
      <c r="H858" s="649"/>
      <c r="I858" s="649"/>
      <c r="J858" s="647"/>
      <c r="K858" s="647" t="s">
        <v>3956</v>
      </c>
      <c r="L858" s="647" t="s">
        <v>5637</v>
      </c>
      <c r="M858" s="647" t="s">
        <v>3826</v>
      </c>
      <c r="N858" s="648" t="e">
        <v>#N/A</v>
      </c>
    </row>
    <row r="859" spans="1:14" x14ac:dyDescent="0.35">
      <c r="A859" s="647">
        <v>6325</v>
      </c>
      <c r="B859" s="647" t="s">
        <v>7701</v>
      </c>
      <c r="C859" s="647" t="s">
        <v>7702</v>
      </c>
      <c r="D859" s="647" t="s">
        <v>2821</v>
      </c>
      <c r="E859" s="647" t="s">
        <v>3584</v>
      </c>
      <c r="F859" s="647">
        <v>78702</v>
      </c>
      <c r="G859" s="647" t="s">
        <v>7703</v>
      </c>
      <c r="H859" s="647" t="s">
        <v>5875</v>
      </c>
      <c r="I859" s="647" t="s">
        <v>3977</v>
      </c>
      <c r="J859" s="647">
        <v>14443244</v>
      </c>
      <c r="K859" s="647" t="s">
        <v>5085</v>
      </c>
      <c r="L859" s="647" t="s">
        <v>7704</v>
      </c>
      <c r="M859" s="647" t="s">
        <v>3826</v>
      </c>
      <c r="N859" s="648">
        <v>40330</v>
      </c>
    </row>
    <row r="860" spans="1:14" x14ac:dyDescent="0.35">
      <c r="A860" s="647">
        <v>6332</v>
      </c>
      <c r="B860" s="647" t="s">
        <v>7705</v>
      </c>
      <c r="C860" s="647" t="s">
        <v>7706</v>
      </c>
      <c r="D860" s="647" t="s">
        <v>3591</v>
      </c>
      <c r="E860" s="647" t="s">
        <v>3584</v>
      </c>
      <c r="F860" s="647" t="s">
        <v>7707</v>
      </c>
      <c r="G860" s="647" t="s">
        <v>7708</v>
      </c>
      <c r="H860" s="647" t="s">
        <v>5875</v>
      </c>
      <c r="I860" s="647" t="s">
        <v>3977</v>
      </c>
      <c r="J860" s="647">
        <v>508348</v>
      </c>
      <c r="K860" s="647" t="s">
        <v>4067</v>
      </c>
      <c r="L860" s="647" t="s">
        <v>4579</v>
      </c>
      <c r="M860" s="647" t="s">
        <v>3826</v>
      </c>
      <c r="N860" s="648">
        <v>40360</v>
      </c>
    </row>
    <row r="861" spans="1:14" x14ac:dyDescent="0.35">
      <c r="A861" s="647">
        <v>6341</v>
      </c>
      <c r="B861" s="647" t="s">
        <v>7709</v>
      </c>
      <c r="C861" s="647" t="s">
        <v>7710</v>
      </c>
      <c r="D861" s="647" t="s">
        <v>3593</v>
      </c>
      <c r="E861" s="647" t="s">
        <v>3584</v>
      </c>
      <c r="F861" s="647">
        <v>79721</v>
      </c>
      <c r="G861" s="647" t="s">
        <v>7711</v>
      </c>
      <c r="H861" s="649"/>
      <c r="I861" s="649"/>
      <c r="J861" s="647">
        <v>522754</v>
      </c>
      <c r="K861" s="647" t="s">
        <v>4568</v>
      </c>
      <c r="L861" s="647" t="s">
        <v>7712</v>
      </c>
      <c r="M861" s="647" t="s">
        <v>3826</v>
      </c>
      <c r="N861" s="648" t="e">
        <v>#N/A</v>
      </c>
    </row>
    <row r="862" spans="1:14" x14ac:dyDescent="0.35">
      <c r="A862" s="647">
        <v>6347</v>
      </c>
      <c r="B862" s="647" t="s">
        <v>7713</v>
      </c>
      <c r="C862" s="647" t="s">
        <v>7714</v>
      </c>
      <c r="D862" s="647" t="s">
        <v>3595</v>
      </c>
      <c r="E862" s="647" t="s">
        <v>3584</v>
      </c>
      <c r="F862" s="647">
        <v>79014</v>
      </c>
      <c r="G862" s="647" t="s">
        <v>7715</v>
      </c>
      <c r="H862" s="649"/>
      <c r="I862" s="649"/>
      <c r="J862" s="647">
        <v>267064</v>
      </c>
      <c r="K862" s="647" t="s">
        <v>7716</v>
      </c>
      <c r="L862" s="647" t="s">
        <v>7717</v>
      </c>
      <c r="M862" s="647" t="s">
        <v>3826</v>
      </c>
      <c r="N862" s="648" t="e">
        <v>#N/A</v>
      </c>
    </row>
    <row r="863" spans="1:14" x14ac:dyDescent="0.35">
      <c r="A863" s="647">
        <v>6349</v>
      </c>
      <c r="B863" s="647" t="s">
        <v>7718</v>
      </c>
      <c r="C863" s="647" t="s">
        <v>7719</v>
      </c>
      <c r="D863" s="647" t="s">
        <v>3597</v>
      </c>
      <c r="E863" s="647" t="s">
        <v>3584</v>
      </c>
      <c r="F863" s="647" t="s">
        <v>7720</v>
      </c>
      <c r="G863" s="647" t="s">
        <v>7721</v>
      </c>
      <c r="H863" s="647" t="s">
        <v>5875</v>
      </c>
      <c r="I863" s="647" t="s">
        <v>4502</v>
      </c>
      <c r="J863" s="647">
        <v>1311071</v>
      </c>
      <c r="K863" s="647" t="s">
        <v>3835</v>
      </c>
      <c r="L863" s="647" t="s">
        <v>7722</v>
      </c>
      <c r="M863" s="647" t="s">
        <v>4078</v>
      </c>
      <c r="N863" s="648">
        <v>40452</v>
      </c>
    </row>
    <row r="864" spans="1:14" x14ac:dyDescent="0.35">
      <c r="A864" s="647">
        <v>6353</v>
      </c>
      <c r="B864" s="647" t="s">
        <v>7723</v>
      </c>
      <c r="C864" s="647" t="s">
        <v>7724</v>
      </c>
      <c r="D864" s="647" t="s">
        <v>3599</v>
      </c>
      <c r="E864" s="647" t="s">
        <v>3584</v>
      </c>
      <c r="F864" s="647">
        <v>75110</v>
      </c>
      <c r="G864" s="647" t="s">
        <v>7725</v>
      </c>
      <c r="H864" s="647" t="s">
        <v>5875</v>
      </c>
      <c r="I864" s="647" t="s">
        <v>3977</v>
      </c>
      <c r="J864" s="647">
        <v>1275007</v>
      </c>
      <c r="K864" s="647" t="s">
        <v>4241</v>
      </c>
      <c r="L864" s="647" t="s">
        <v>7726</v>
      </c>
      <c r="M864" s="647" t="s">
        <v>3826</v>
      </c>
      <c r="N864" s="648">
        <v>40224</v>
      </c>
    </row>
    <row r="865" spans="1:14" x14ac:dyDescent="0.35">
      <c r="A865" s="647">
        <v>6357</v>
      </c>
      <c r="B865" s="647" t="s">
        <v>7727</v>
      </c>
      <c r="C865" s="647" t="s">
        <v>7728</v>
      </c>
      <c r="D865" s="647" t="s">
        <v>3601</v>
      </c>
      <c r="E865" s="647" t="s">
        <v>3584</v>
      </c>
      <c r="F865" s="647">
        <v>75201</v>
      </c>
      <c r="G865" s="647" t="s">
        <v>7729</v>
      </c>
      <c r="H865" s="647" t="s">
        <v>5875</v>
      </c>
      <c r="I865" s="647" t="s">
        <v>3977</v>
      </c>
      <c r="J865" s="647">
        <v>53188837</v>
      </c>
      <c r="K865" s="647" t="s">
        <v>7730</v>
      </c>
      <c r="L865" s="647" t="s">
        <v>7731</v>
      </c>
      <c r="M865" s="647" t="s">
        <v>3826</v>
      </c>
      <c r="N865" s="648">
        <v>40483</v>
      </c>
    </row>
    <row r="866" spans="1:14" x14ac:dyDescent="0.35">
      <c r="A866" s="647">
        <v>6417</v>
      </c>
      <c r="B866" s="647" t="s">
        <v>7732</v>
      </c>
      <c r="C866" s="647" t="s">
        <v>7733</v>
      </c>
      <c r="D866" s="647" t="s">
        <v>3603</v>
      </c>
      <c r="E866" s="647" t="s">
        <v>3584</v>
      </c>
      <c r="F866" s="647">
        <v>79029</v>
      </c>
      <c r="G866" s="647" t="s">
        <v>7734</v>
      </c>
      <c r="H866" s="647" t="s">
        <v>5875</v>
      </c>
      <c r="I866" s="647" t="s">
        <v>4502</v>
      </c>
      <c r="J866" s="647">
        <v>780933</v>
      </c>
      <c r="K866" s="647" t="s">
        <v>3835</v>
      </c>
      <c r="L866" s="647" t="s">
        <v>7735</v>
      </c>
      <c r="M866" s="647" t="s">
        <v>4078</v>
      </c>
      <c r="N866" s="648">
        <v>40178</v>
      </c>
    </row>
    <row r="867" spans="1:14" x14ac:dyDescent="0.35">
      <c r="A867" s="647">
        <v>6419</v>
      </c>
      <c r="B867" s="647" t="s">
        <v>7736</v>
      </c>
      <c r="C867" s="647" t="s">
        <v>7737</v>
      </c>
      <c r="D867" s="647" t="s">
        <v>3605</v>
      </c>
      <c r="E867" s="647" t="s">
        <v>3584</v>
      </c>
      <c r="F867" s="647">
        <v>78680</v>
      </c>
      <c r="G867" s="647" t="s">
        <v>7738</v>
      </c>
      <c r="H867" s="647" t="s">
        <v>5875</v>
      </c>
      <c r="I867" s="647" t="s">
        <v>4502</v>
      </c>
      <c r="J867" s="647">
        <v>17105534</v>
      </c>
      <c r="K867" s="647" t="s">
        <v>4067</v>
      </c>
      <c r="L867" s="647" t="s">
        <v>3979</v>
      </c>
      <c r="M867" s="647" t="s">
        <v>3826</v>
      </c>
      <c r="N867" s="648">
        <v>40178</v>
      </c>
    </row>
    <row r="868" spans="1:14" x14ac:dyDescent="0.35">
      <c r="A868" s="647">
        <v>6421</v>
      </c>
      <c r="B868" s="647" t="s">
        <v>7739</v>
      </c>
      <c r="C868" s="647" t="s">
        <v>7740</v>
      </c>
      <c r="D868" s="647" t="s">
        <v>3607</v>
      </c>
      <c r="E868" s="647" t="s">
        <v>3584</v>
      </c>
      <c r="F868" s="647">
        <v>79902</v>
      </c>
      <c r="G868" s="647" t="s">
        <v>7741</v>
      </c>
      <c r="H868" s="647" t="s">
        <v>5875</v>
      </c>
      <c r="I868" s="647" t="s">
        <v>3977</v>
      </c>
      <c r="J868" s="647">
        <v>2840774</v>
      </c>
      <c r="K868" s="647" t="s">
        <v>4280</v>
      </c>
      <c r="L868" s="647" t="s">
        <v>5148</v>
      </c>
      <c r="M868" s="647" t="s">
        <v>3826</v>
      </c>
      <c r="N868" s="648">
        <v>40178</v>
      </c>
    </row>
    <row r="869" spans="1:14" x14ac:dyDescent="0.35">
      <c r="A869" s="647">
        <v>6437</v>
      </c>
      <c r="B869" s="647" t="s">
        <v>7742</v>
      </c>
      <c r="C869" s="647" t="s">
        <v>7743</v>
      </c>
      <c r="D869" s="647" t="s">
        <v>3609</v>
      </c>
      <c r="E869" s="647" t="s">
        <v>3584</v>
      </c>
      <c r="F869" s="647">
        <v>76102</v>
      </c>
      <c r="G869" s="647" t="s">
        <v>7744</v>
      </c>
      <c r="H869" s="647" t="s">
        <v>5875</v>
      </c>
      <c r="I869" s="647" t="s">
        <v>3977</v>
      </c>
      <c r="J869" s="647">
        <v>22015483</v>
      </c>
      <c r="K869" s="647" t="s">
        <v>6427</v>
      </c>
      <c r="L869" s="647" t="s">
        <v>7745</v>
      </c>
      <c r="M869" s="647" t="s">
        <v>3826</v>
      </c>
      <c r="N869" s="648">
        <v>40178</v>
      </c>
    </row>
    <row r="870" spans="1:14" x14ac:dyDescent="0.35">
      <c r="A870" s="647">
        <v>6473</v>
      </c>
      <c r="B870" s="647" t="s">
        <v>7746</v>
      </c>
      <c r="C870" s="647" t="s">
        <v>7747</v>
      </c>
      <c r="D870" s="647" t="s">
        <v>7748</v>
      </c>
      <c r="E870" s="647" t="s">
        <v>3584</v>
      </c>
      <c r="F870" s="647">
        <v>77550</v>
      </c>
      <c r="G870" s="647" t="s">
        <v>7749</v>
      </c>
      <c r="H870" s="649"/>
      <c r="I870" s="649"/>
      <c r="J870" s="647"/>
      <c r="K870" s="647" t="s">
        <v>7750</v>
      </c>
      <c r="L870" s="647" t="s">
        <v>7751</v>
      </c>
      <c r="M870" s="647" t="s">
        <v>3826</v>
      </c>
      <c r="N870" s="648" t="e">
        <v>#N/A</v>
      </c>
    </row>
    <row r="871" spans="1:14" x14ac:dyDescent="0.35">
      <c r="A871" s="647">
        <v>6477</v>
      </c>
      <c r="B871" s="647" t="s">
        <v>7752</v>
      </c>
      <c r="C871" s="647" t="s">
        <v>7753</v>
      </c>
      <c r="D871" s="647" t="s">
        <v>2858</v>
      </c>
      <c r="E871" s="647" t="s">
        <v>3584</v>
      </c>
      <c r="F871" s="647">
        <v>75401</v>
      </c>
      <c r="G871" s="647" t="s">
        <v>7754</v>
      </c>
      <c r="H871" s="647" t="s">
        <v>5875</v>
      </c>
      <c r="I871" s="647" t="s">
        <v>3977</v>
      </c>
      <c r="J871" s="647">
        <v>618135</v>
      </c>
      <c r="K871" s="647" t="s">
        <v>7755</v>
      </c>
      <c r="L871" s="647" t="s">
        <v>7756</v>
      </c>
      <c r="M871" s="647" t="s">
        <v>3973</v>
      </c>
      <c r="N871" s="648">
        <v>40349</v>
      </c>
    </row>
    <row r="872" spans="1:14" x14ac:dyDescent="0.35">
      <c r="A872" s="647">
        <v>6479</v>
      </c>
      <c r="B872" s="647" t="s">
        <v>7757</v>
      </c>
      <c r="C872" s="647" t="s">
        <v>7758</v>
      </c>
      <c r="D872" s="647" t="s">
        <v>3612</v>
      </c>
      <c r="E872" s="647" t="s">
        <v>3584</v>
      </c>
      <c r="F872" s="647">
        <v>79045</v>
      </c>
      <c r="G872" s="647" t="s">
        <v>7759</v>
      </c>
      <c r="H872" s="649"/>
      <c r="I872" s="649"/>
      <c r="J872" s="647">
        <v>218172</v>
      </c>
      <c r="K872" s="647" t="s">
        <v>7760</v>
      </c>
      <c r="L872" s="647" t="s">
        <v>7761</v>
      </c>
      <c r="M872" s="647" t="s">
        <v>3826</v>
      </c>
      <c r="N872" s="648" t="e">
        <v>#N/A</v>
      </c>
    </row>
    <row r="873" spans="1:14" x14ac:dyDescent="0.35">
      <c r="A873" s="647">
        <v>6481</v>
      </c>
      <c r="B873" s="647" t="s">
        <v>7762</v>
      </c>
      <c r="C873" s="647" t="s">
        <v>7763</v>
      </c>
      <c r="D873" s="647" t="s">
        <v>3614</v>
      </c>
      <c r="E873" s="647" t="s">
        <v>3584</v>
      </c>
      <c r="F873" s="647">
        <v>77253</v>
      </c>
      <c r="G873" s="647" t="s">
        <v>7764</v>
      </c>
      <c r="H873" s="649"/>
      <c r="I873" s="649"/>
      <c r="J873" s="647">
        <v>103889235</v>
      </c>
      <c r="K873" s="647" t="s">
        <v>5039</v>
      </c>
      <c r="L873" s="647" t="s">
        <v>7765</v>
      </c>
      <c r="M873" s="647" t="s">
        <v>3826</v>
      </c>
      <c r="N873" s="648" t="e">
        <v>#N/A</v>
      </c>
    </row>
    <row r="874" spans="1:14" x14ac:dyDescent="0.35">
      <c r="A874" s="647">
        <v>6553</v>
      </c>
      <c r="B874" s="647" t="s">
        <v>7766</v>
      </c>
      <c r="C874" s="647" t="s">
        <v>7767</v>
      </c>
      <c r="D874" s="647" t="s">
        <v>3616</v>
      </c>
      <c r="E874" s="647" t="s">
        <v>3584</v>
      </c>
      <c r="F874" s="647">
        <v>79702</v>
      </c>
      <c r="G874" s="647" t="s">
        <v>7768</v>
      </c>
      <c r="H874" s="649"/>
      <c r="I874" s="649"/>
      <c r="J874" s="647">
        <v>2568744</v>
      </c>
      <c r="K874" s="647" t="s">
        <v>5009</v>
      </c>
      <c r="L874" s="647" t="s">
        <v>7769</v>
      </c>
      <c r="M874" s="647" t="s">
        <v>3826</v>
      </c>
      <c r="N874" s="648" t="e">
        <v>#N/A</v>
      </c>
    </row>
    <row r="875" spans="1:14" x14ac:dyDescent="0.35">
      <c r="A875" s="647">
        <v>6561</v>
      </c>
      <c r="B875" s="647" t="s">
        <v>7770</v>
      </c>
      <c r="C875" s="647" t="s">
        <v>7771</v>
      </c>
      <c r="D875" s="647" t="s">
        <v>3618</v>
      </c>
      <c r="E875" s="647" t="s">
        <v>3584</v>
      </c>
      <c r="F875" s="647">
        <v>79762</v>
      </c>
      <c r="G875" s="647" t="s">
        <v>7772</v>
      </c>
      <c r="H875" s="649"/>
      <c r="I875" s="649"/>
      <c r="J875" s="647">
        <v>3225675</v>
      </c>
      <c r="K875" s="647" t="s">
        <v>3918</v>
      </c>
      <c r="L875" s="647" t="s">
        <v>7773</v>
      </c>
      <c r="M875" s="647" t="s">
        <v>3826</v>
      </c>
      <c r="N875" s="648" t="e">
        <v>#N/A</v>
      </c>
    </row>
    <row r="876" spans="1:14" x14ac:dyDescent="0.35">
      <c r="A876" s="647">
        <v>6569</v>
      </c>
      <c r="B876" s="647" t="s">
        <v>7774</v>
      </c>
      <c r="C876" s="647" t="s">
        <v>7775</v>
      </c>
      <c r="D876" s="647" t="s">
        <v>3620</v>
      </c>
      <c r="E876" s="647" t="s">
        <v>3584</v>
      </c>
      <c r="F876" s="647">
        <v>75801</v>
      </c>
      <c r="G876" s="647" t="s">
        <v>7776</v>
      </c>
      <c r="H876" s="647" t="s">
        <v>5875</v>
      </c>
      <c r="I876" s="647" t="s">
        <v>3977</v>
      </c>
      <c r="J876" s="647">
        <v>1402823</v>
      </c>
      <c r="K876" s="647" t="s">
        <v>4453</v>
      </c>
      <c r="L876" s="647" t="s">
        <v>7777</v>
      </c>
      <c r="M876" s="647" t="s">
        <v>3826</v>
      </c>
      <c r="N876" s="648">
        <v>40483</v>
      </c>
    </row>
    <row r="877" spans="1:14" x14ac:dyDescent="0.35">
      <c r="A877" s="647">
        <v>6577</v>
      </c>
      <c r="B877" s="647" t="s">
        <v>7778</v>
      </c>
      <c r="C877" s="647" t="s">
        <v>7779</v>
      </c>
      <c r="D877" s="647" t="s">
        <v>3622</v>
      </c>
      <c r="E877" s="647" t="s">
        <v>3584</v>
      </c>
      <c r="F877" s="647">
        <v>79073</v>
      </c>
      <c r="G877" s="647" t="s">
        <v>7780</v>
      </c>
      <c r="H877" s="649"/>
      <c r="I877" s="649"/>
      <c r="J877" s="647">
        <v>758499</v>
      </c>
      <c r="K877" s="647" t="s">
        <v>7030</v>
      </c>
      <c r="L877" s="647" t="s">
        <v>7031</v>
      </c>
      <c r="M877" s="647" t="s">
        <v>3826</v>
      </c>
      <c r="N877" s="648" t="e">
        <v>#N/A</v>
      </c>
    </row>
    <row r="878" spans="1:14" x14ac:dyDescent="0.35">
      <c r="A878" s="647">
        <v>6581</v>
      </c>
      <c r="B878" s="647" t="s">
        <v>7781</v>
      </c>
      <c r="C878" s="647" t="s">
        <v>7782</v>
      </c>
      <c r="D878" s="647" t="s">
        <v>3624</v>
      </c>
      <c r="E878" s="647" t="s">
        <v>3584</v>
      </c>
      <c r="F878" s="647">
        <v>77642</v>
      </c>
      <c r="G878" s="647" t="s">
        <v>7783</v>
      </c>
      <c r="H878" s="647" t="s">
        <v>5875</v>
      </c>
      <c r="I878" s="647" t="s">
        <v>3977</v>
      </c>
      <c r="J878" s="647">
        <v>1605477</v>
      </c>
      <c r="K878" s="647" t="s">
        <v>3950</v>
      </c>
      <c r="L878" s="647" t="s">
        <v>7784</v>
      </c>
      <c r="M878" s="647" t="s">
        <v>4078</v>
      </c>
      <c r="N878" s="648">
        <v>40360</v>
      </c>
    </row>
    <row r="879" spans="1:14" x14ac:dyDescent="0.35">
      <c r="A879" s="647">
        <v>6589</v>
      </c>
      <c r="B879" s="647" t="s">
        <v>7785</v>
      </c>
      <c r="C879" s="647" t="s">
        <v>7786</v>
      </c>
      <c r="D879" s="647" t="s">
        <v>3626</v>
      </c>
      <c r="E879" s="647" t="s">
        <v>3584</v>
      </c>
      <c r="F879" s="647">
        <v>4073</v>
      </c>
      <c r="G879" s="647" t="s">
        <v>7787</v>
      </c>
      <c r="H879" s="649"/>
      <c r="I879" s="649"/>
      <c r="J879" s="647">
        <v>1940733</v>
      </c>
      <c r="K879" s="647" t="s">
        <v>3835</v>
      </c>
      <c r="L879" s="647" t="s">
        <v>7788</v>
      </c>
      <c r="M879" s="647" t="s">
        <v>3826</v>
      </c>
      <c r="N879" s="648" t="e">
        <v>#N/A</v>
      </c>
    </row>
    <row r="880" spans="1:14" x14ac:dyDescent="0.35">
      <c r="A880" s="647">
        <v>6593</v>
      </c>
      <c r="B880" s="647" t="s">
        <v>7789</v>
      </c>
      <c r="C880" s="647" t="s">
        <v>7790</v>
      </c>
      <c r="D880" s="647" t="s">
        <v>3628</v>
      </c>
      <c r="E880" s="647" t="s">
        <v>3584</v>
      </c>
      <c r="F880" s="647">
        <v>78205</v>
      </c>
      <c r="G880" s="647" t="s">
        <v>7791</v>
      </c>
      <c r="H880" s="647" t="s">
        <v>5875</v>
      </c>
      <c r="I880" s="647" t="s">
        <v>4502</v>
      </c>
      <c r="J880" s="647">
        <v>19545879</v>
      </c>
      <c r="K880" s="647" t="s">
        <v>7792</v>
      </c>
      <c r="L880" s="647" t="s">
        <v>7793</v>
      </c>
      <c r="M880" s="647" t="s">
        <v>3826</v>
      </c>
      <c r="N880" s="648">
        <v>40483</v>
      </c>
    </row>
    <row r="881" spans="1:14" x14ac:dyDescent="0.35">
      <c r="A881" s="647">
        <v>6596</v>
      </c>
      <c r="B881" s="647" t="s">
        <v>7794</v>
      </c>
      <c r="C881" s="647" t="s">
        <v>7795</v>
      </c>
      <c r="D881" s="647" t="s">
        <v>3630</v>
      </c>
      <c r="E881" s="647" t="s">
        <v>3584</v>
      </c>
      <c r="F881" s="647">
        <v>78029</v>
      </c>
      <c r="G881" s="647" t="s">
        <v>7796</v>
      </c>
      <c r="H881" s="647" t="s">
        <v>5875</v>
      </c>
      <c r="I881" s="647" t="s">
        <v>4502</v>
      </c>
      <c r="J881" s="647">
        <v>861629</v>
      </c>
      <c r="K881" s="647" t="s">
        <v>6012</v>
      </c>
      <c r="L881" s="647" t="s">
        <v>7797</v>
      </c>
      <c r="M881" s="649"/>
      <c r="N881" s="648">
        <v>40176</v>
      </c>
    </row>
    <row r="882" spans="1:14" x14ac:dyDescent="0.35">
      <c r="A882" s="647">
        <v>6627</v>
      </c>
      <c r="B882" s="647" t="s">
        <v>7798</v>
      </c>
      <c r="C882" s="647" t="s">
        <v>7799</v>
      </c>
      <c r="D882" s="647" t="s">
        <v>3632</v>
      </c>
      <c r="E882" s="647" t="s">
        <v>3584</v>
      </c>
      <c r="F882" s="647" t="s">
        <v>7800</v>
      </c>
      <c r="G882" s="647" t="s">
        <v>7801</v>
      </c>
      <c r="H882" s="649"/>
      <c r="I882" s="649"/>
      <c r="J882" s="647">
        <v>1470604</v>
      </c>
      <c r="K882" s="647" t="s">
        <v>2265</v>
      </c>
      <c r="L882" s="647" t="s">
        <v>4735</v>
      </c>
      <c r="M882" s="647" t="s">
        <v>3826</v>
      </c>
      <c r="N882" s="648" t="e">
        <v>#N/A</v>
      </c>
    </row>
    <row r="883" spans="1:14" x14ac:dyDescent="0.35">
      <c r="A883" s="647">
        <v>6635</v>
      </c>
      <c r="B883" s="647" t="s">
        <v>7802</v>
      </c>
      <c r="C883" s="647" t="s">
        <v>7803</v>
      </c>
      <c r="D883" s="647" t="s">
        <v>3634</v>
      </c>
      <c r="E883" s="647" t="s">
        <v>3584</v>
      </c>
      <c r="F883" s="647">
        <v>77901</v>
      </c>
      <c r="G883" s="647" t="s">
        <v>7804</v>
      </c>
      <c r="H883" s="647" t="s">
        <v>5875</v>
      </c>
      <c r="I883" s="647" t="s">
        <v>3977</v>
      </c>
      <c r="J883" s="647">
        <v>2425865</v>
      </c>
      <c r="K883" s="647" t="s">
        <v>4280</v>
      </c>
      <c r="L883" s="647" t="s">
        <v>7805</v>
      </c>
      <c r="M883" s="647" t="s">
        <v>4078</v>
      </c>
      <c r="N883" s="648">
        <v>40319</v>
      </c>
    </row>
    <row r="884" spans="1:14" x14ac:dyDescent="0.35">
      <c r="A884" s="647">
        <v>6639</v>
      </c>
      <c r="B884" s="647" t="s">
        <v>7806</v>
      </c>
      <c r="C884" s="647" t="s">
        <v>7807</v>
      </c>
      <c r="D884" s="647" t="s">
        <v>3636</v>
      </c>
      <c r="E884" s="647" t="s">
        <v>3584</v>
      </c>
      <c r="F884" s="647">
        <v>76702</v>
      </c>
      <c r="G884" s="647" t="s">
        <v>7808</v>
      </c>
      <c r="H884" s="647" t="s">
        <v>5315</v>
      </c>
      <c r="I884" s="647" t="s">
        <v>3995</v>
      </c>
      <c r="J884" s="647">
        <v>3596819</v>
      </c>
      <c r="K884" s="647" t="s">
        <v>6258</v>
      </c>
      <c r="L884" s="647" t="s">
        <v>5629</v>
      </c>
      <c r="M884" s="647" t="s">
        <v>3826</v>
      </c>
      <c r="N884" s="648" t="e">
        <v>#N/A</v>
      </c>
    </row>
    <row r="885" spans="1:14" x14ac:dyDescent="0.35">
      <c r="A885" s="647">
        <v>6647</v>
      </c>
      <c r="B885" s="647" t="s">
        <v>7809</v>
      </c>
      <c r="C885" s="647" t="s">
        <v>7810</v>
      </c>
      <c r="D885" s="647" t="s">
        <v>3638</v>
      </c>
      <c r="E885" s="647" t="s">
        <v>3584</v>
      </c>
      <c r="F885" s="647">
        <v>76301</v>
      </c>
      <c r="G885" s="647" t="s">
        <v>7811</v>
      </c>
      <c r="H885" s="647" t="s">
        <v>5875</v>
      </c>
      <c r="I885" s="647" t="s">
        <v>4502</v>
      </c>
      <c r="J885" s="647">
        <v>2827482</v>
      </c>
      <c r="K885" s="647" t="s">
        <v>7812</v>
      </c>
      <c r="L885" s="647" t="s">
        <v>4165</v>
      </c>
      <c r="M885" s="647" t="s">
        <v>4221</v>
      </c>
      <c r="N885" s="648">
        <v>40443</v>
      </c>
    </row>
    <row r="886" spans="1:14" x14ac:dyDescent="0.35">
      <c r="A886" s="647">
        <v>6655</v>
      </c>
      <c r="B886" s="647" t="s">
        <v>7813</v>
      </c>
      <c r="C886" s="647" t="s">
        <v>7814</v>
      </c>
      <c r="D886" s="647" t="s">
        <v>3640</v>
      </c>
      <c r="E886" s="647" t="s">
        <v>3641</v>
      </c>
      <c r="F886" s="647">
        <v>84106</v>
      </c>
      <c r="G886" s="647" t="s">
        <v>7815</v>
      </c>
      <c r="H886" s="649"/>
      <c r="I886" s="649"/>
      <c r="J886" s="647">
        <v>1117149</v>
      </c>
      <c r="K886" s="647" t="s">
        <v>7816</v>
      </c>
      <c r="L886" s="647" t="s">
        <v>7817</v>
      </c>
      <c r="M886" s="647" t="s">
        <v>3826</v>
      </c>
      <c r="N886" s="648" t="e">
        <v>#N/A</v>
      </c>
    </row>
    <row r="887" spans="1:14" x14ac:dyDescent="0.35">
      <c r="A887" s="647">
        <v>6663</v>
      </c>
      <c r="B887" s="647" t="s">
        <v>7818</v>
      </c>
      <c r="C887" s="647" t="s">
        <v>7819</v>
      </c>
      <c r="D887" s="647" t="s">
        <v>2537</v>
      </c>
      <c r="E887" s="647" t="s">
        <v>3643</v>
      </c>
      <c r="F887" s="647">
        <v>5401</v>
      </c>
      <c r="G887" s="647" t="s">
        <v>7820</v>
      </c>
      <c r="H887" s="647" t="s">
        <v>4247</v>
      </c>
      <c r="I887" s="647" t="s">
        <v>4279</v>
      </c>
      <c r="J887" s="647">
        <v>7322062</v>
      </c>
      <c r="K887" s="647" t="s">
        <v>7394</v>
      </c>
      <c r="L887" s="647" t="s">
        <v>7821</v>
      </c>
      <c r="M887" s="647" t="s">
        <v>7822</v>
      </c>
      <c r="N887" s="648">
        <v>40360</v>
      </c>
    </row>
    <row r="888" spans="1:14" x14ac:dyDescent="0.35">
      <c r="A888" s="647">
        <v>6667</v>
      </c>
      <c r="B888" s="647" t="s">
        <v>7823</v>
      </c>
      <c r="C888" s="647" t="s">
        <v>7824</v>
      </c>
      <c r="D888" s="647" t="s">
        <v>3645</v>
      </c>
      <c r="E888" s="647" t="s">
        <v>3643</v>
      </c>
      <c r="F888" s="647">
        <v>5101</v>
      </c>
      <c r="G888" s="647" t="s">
        <v>7825</v>
      </c>
      <c r="H888" s="647" t="s">
        <v>4247</v>
      </c>
      <c r="I888" s="647" t="s">
        <v>4264</v>
      </c>
      <c r="J888" s="647">
        <v>547000</v>
      </c>
      <c r="K888" s="647" t="s">
        <v>5301</v>
      </c>
      <c r="L888" s="647" t="s">
        <v>7826</v>
      </c>
      <c r="M888" s="647" t="s">
        <v>3826</v>
      </c>
      <c r="N888" s="648">
        <v>40420</v>
      </c>
    </row>
    <row r="889" spans="1:14" x14ac:dyDescent="0.35">
      <c r="A889" s="647">
        <v>6677</v>
      </c>
      <c r="B889" s="647" t="s">
        <v>7827</v>
      </c>
      <c r="C889" s="647" t="s">
        <v>7828</v>
      </c>
      <c r="D889" s="647" t="s">
        <v>3647</v>
      </c>
      <c r="E889" s="647" t="s">
        <v>3648</v>
      </c>
      <c r="F889" s="647">
        <v>24060</v>
      </c>
      <c r="G889" s="647" t="s">
        <v>7829</v>
      </c>
      <c r="H889" s="647" t="s">
        <v>3944</v>
      </c>
      <c r="I889" s="647" t="s">
        <v>3823</v>
      </c>
      <c r="J889" s="647">
        <v>1105278</v>
      </c>
      <c r="K889" s="647" t="s">
        <v>7830</v>
      </c>
      <c r="L889" s="647" t="s">
        <v>7831</v>
      </c>
      <c r="M889" s="647" t="s">
        <v>3826</v>
      </c>
      <c r="N889" s="648" t="e">
        <v>#N/A</v>
      </c>
    </row>
    <row r="890" spans="1:14" x14ac:dyDescent="0.35">
      <c r="A890" s="647">
        <v>6678</v>
      </c>
      <c r="B890" s="647" t="s">
        <v>7832</v>
      </c>
      <c r="C890" s="647" t="s">
        <v>7833</v>
      </c>
      <c r="D890" s="647" t="s">
        <v>3650</v>
      </c>
      <c r="E890" s="647" t="s">
        <v>3648</v>
      </c>
      <c r="F890" s="647">
        <v>24517</v>
      </c>
      <c r="G890" s="647" t="s">
        <v>7834</v>
      </c>
      <c r="H890" s="647" t="s">
        <v>3944</v>
      </c>
      <c r="I890" s="647" t="s">
        <v>3823</v>
      </c>
      <c r="J890" s="647">
        <v>2350707</v>
      </c>
      <c r="K890" s="647" t="s">
        <v>5301</v>
      </c>
      <c r="L890" s="647" t="s">
        <v>7835</v>
      </c>
      <c r="M890" s="647" t="s">
        <v>3826</v>
      </c>
      <c r="N890" s="648">
        <v>40374</v>
      </c>
    </row>
    <row r="891" spans="1:14" x14ac:dyDescent="0.35">
      <c r="A891" s="647">
        <v>6679</v>
      </c>
      <c r="B891" s="647" t="s">
        <v>7836</v>
      </c>
      <c r="C891" s="647" t="s">
        <v>7837</v>
      </c>
      <c r="D891" s="647" t="s">
        <v>3652</v>
      </c>
      <c r="E891" s="647" t="s">
        <v>3648</v>
      </c>
      <c r="F891" s="647">
        <v>24426</v>
      </c>
      <c r="G891" s="647" t="s">
        <v>7838</v>
      </c>
      <c r="H891" s="647" t="s">
        <v>3944</v>
      </c>
      <c r="I891" s="647" t="s">
        <v>3823</v>
      </c>
      <c r="J891" s="647">
        <v>1297781</v>
      </c>
      <c r="K891" s="647" t="s">
        <v>7839</v>
      </c>
      <c r="L891" s="647" t="s">
        <v>7840</v>
      </c>
      <c r="M891" s="647" t="s">
        <v>3826</v>
      </c>
      <c r="N891" s="648">
        <v>40350</v>
      </c>
    </row>
    <row r="892" spans="1:14" x14ac:dyDescent="0.35">
      <c r="A892" s="647">
        <v>6680</v>
      </c>
      <c r="B892" s="647" t="s">
        <v>7841</v>
      </c>
      <c r="C892" s="647" t="s">
        <v>7842</v>
      </c>
      <c r="D892" s="647" t="s">
        <v>3654</v>
      </c>
      <c r="E892" s="647" t="s">
        <v>3648</v>
      </c>
      <c r="F892" s="647">
        <v>24523</v>
      </c>
      <c r="G892" s="647" t="s">
        <v>7843</v>
      </c>
      <c r="H892" s="647" t="s">
        <v>3944</v>
      </c>
      <c r="I892" s="647" t="s">
        <v>3823</v>
      </c>
      <c r="J892" s="647">
        <v>1446269</v>
      </c>
      <c r="K892" s="647" t="s">
        <v>5936</v>
      </c>
      <c r="L892" s="647" t="s">
        <v>5282</v>
      </c>
      <c r="M892" s="647" t="s">
        <v>3826</v>
      </c>
      <c r="N892" s="648">
        <v>40360</v>
      </c>
    </row>
    <row r="893" spans="1:14" x14ac:dyDescent="0.35">
      <c r="A893" s="647">
        <v>6682</v>
      </c>
      <c r="B893" s="647" t="s">
        <v>7844</v>
      </c>
      <c r="C893" s="647" t="s">
        <v>7845</v>
      </c>
      <c r="D893" s="647" t="s">
        <v>3656</v>
      </c>
      <c r="E893" s="647" t="s">
        <v>3648</v>
      </c>
      <c r="F893" s="647">
        <v>22901</v>
      </c>
      <c r="G893" s="647" t="s">
        <v>7846</v>
      </c>
      <c r="H893" s="647" t="s">
        <v>3944</v>
      </c>
      <c r="I893" s="647" t="s">
        <v>3823</v>
      </c>
      <c r="J893" s="647">
        <v>785584</v>
      </c>
      <c r="K893" s="647" t="s">
        <v>6026</v>
      </c>
      <c r="L893" s="647" t="s">
        <v>7847</v>
      </c>
      <c r="M893" s="647" t="s">
        <v>3826</v>
      </c>
      <c r="N893" s="648">
        <v>40349</v>
      </c>
    </row>
    <row r="894" spans="1:14" x14ac:dyDescent="0.35">
      <c r="A894" s="647">
        <v>6693</v>
      </c>
      <c r="B894" s="647" t="s">
        <v>7848</v>
      </c>
      <c r="C894" s="647" t="s">
        <v>7849</v>
      </c>
      <c r="D894" s="647" t="s">
        <v>2355</v>
      </c>
      <c r="E894" s="647" t="s">
        <v>3648</v>
      </c>
      <c r="F894" s="647">
        <v>24541</v>
      </c>
      <c r="G894" s="647" t="s">
        <v>7850</v>
      </c>
      <c r="H894" s="647" t="s">
        <v>3944</v>
      </c>
      <c r="I894" s="647" t="s">
        <v>3823</v>
      </c>
      <c r="J894" s="647">
        <v>856431</v>
      </c>
      <c r="K894" s="647" t="s">
        <v>7851</v>
      </c>
      <c r="L894" s="647" t="s">
        <v>7852</v>
      </c>
      <c r="M894" s="647" t="s">
        <v>4078</v>
      </c>
      <c r="N894" s="648" t="e">
        <v>#N/A</v>
      </c>
    </row>
    <row r="895" spans="1:14" x14ac:dyDescent="0.35">
      <c r="A895" s="647">
        <v>6698</v>
      </c>
      <c r="B895" s="647" t="s">
        <v>7853</v>
      </c>
      <c r="C895" s="647" t="s">
        <v>7854</v>
      </c>
      <c r="D895" s="647" t="s">
        <v>3659</v>
      </c>
      <c r="E895" s="647" t="s">
        <v>3648</v>
      </c>
      <c r="F895" s="647">
        <v>23901</v>
      </c>
      <c r="G895" s="647" t="s">
        <v>7855</v>
      </c>
      <c r="H895" s="647" t="s">
        <v>3944</v>
      </c>
      <c r="I895" s="647" t="s">
        <v>3823</v>
      </c>
      <c r="J895" s="647">
        <v>512111</v>
      </c>
      <c r="K895" s="647" t="s">
        <v>4777</v>
      </c>
      <c r="L895" s="647" t="s">
        <v>7856</v>
      </c>
      <c r="M895" s="647" t="s">
        <v>3826</v>
      </c>
      <c r="N895" s="648">
        <v>40417</v>
      </c>
    </row>
    <row r="896" spans="1:14" x14ac:dyDescent="0.35">
      <c r="A896" s="647">
        <v>6709</v>
      </c>
      <c r="B896" s="647" t="s">
        <v>7857</v>
      </c>
      <c r="C896" s="647" t="s">
        <v>7858</v>
      </c>
      <c r="D896" s="647" t="s">
        <v>3399</v>
      </c>
      <c r="E896" s="647" t="s">
        <v>3648</v>
      </c>
      <c r="F896" s="647">
        <v>23851</v>
      </c>
      <c r="G896" s="647" t="s">
        <v>7859</v>
      </c>
      <c r="H896" s="647" t="s">
        <v>3822</v>
      </c>
      <c r="I896" s="647" t="s">
        <v>3823</v>
      </c>
      <c r="J896" s="647">
        <v>1193343</v>
      </c>
      <c r="K896" s="647" t="s">
        <v>4134</v>
      </c>
      <c r="L896" s="647" t="s">
        <v>7860</v>
      </c>
      <c r="M896" s="647" t="s">
        <v>3973</v>
      </c>
      <c r="N896" s="648">
        <v>39995</v>
      </c>
    </row>
    <row r="897" spans="1:14" x14ac:dyDescent="0.35">
      <c r="A897" s="647">
        <v>6712</v>
      </c>
      <c r="B897" s="647" t="s">
        <v>7861</v>
      </c>
      <c r="C897" s="647" t="s">
        <v>7862</v>
      </c>
      <c r="D897" s="647" t="s">
        <v>3662</v>
      </c>
      <c r="E897" s="647" t="s">
        <v>3648</v>
      </c>
      <c r="F897" s="647">
        <v>22405</v>
      </c>
      <c r="G897" s="647" t="s">
        <v>7863</v>
      </c>
      <c r="H897" s="647" t="s">
        <v>3822</v>
      </c>
      <c r="I897" s="647" t="s">
        <v>3823</v>
      </c>
      <c r="J897" s="647">
        <v>7839382</v>
      </c>
      <c r="K897" s="647" t="s">
        <v>7864</v>
      </c>
      <c r="L897" s="647" t="s">
        <v>7865</v>
      </c>
      <c r="M897" s="647" t="s">
        <v>3826</v>
      </c>
      <c r="N897" s="648" t="e">
        <v>#N/A</v>
      </c>
    </row>
    <row r="898" spans="1:14" x14ac:dyDescent="0.35">
      <c r="A898" s="647">
        <v>6718</v>
      </c>
      <c r="B898" s="647" t="s">
        <v>7866</v>
      </c>
      <c r="C898" s="647" t="s">
        <v>7867</v>
      </c>
      <c r="D898" s="647" t="s">
        <v>3664</v>
      </c>
      <c r="E898" s="647" t="s">
        <v>3648</v>
      </c>
      <c r="F898" s="647">
        <v>24614</v>
      </c>
      <c r="G898" s="647" t="s">
        <v>7868</v>
      </c>
      <c r="H898" s="649"/>
      <c r="I898" s="649"/>
      <c r="J898" s="647">
        <v>434770</v>
      </c>
      <c r="K898" s="647" t="s">
        <v>5164</v>
      </c>
      <c r="L898" s="647" t="s">
        <v>7869</v>
      </c>
      <c r="M898" s="647" t="s">
        <v>3826</v>
      </c>
      <c r="N898" s="648" t="e">
        <v>#N/A</v>
      </c>
    </row>
    <row r="899" spans="1:14" x14ac:dyDescent="0.35">
      <c r="A899" s="647">
        <v>6720</v>
      </c>
      <c r="B899" s="647" t="s">
        <v>7870</v>
      </c>
      <c r="C899" s="647" t="s">
        <v>7871</v>
      </c>
      <c r="D899" s="647" t="s">
        <v>3666</v>
      </c>
      <c r="E899" s="647" t="s">
        <v>3648</v>
      </c>
      <c r="F899" s="647">
        <v>4915</v>
      </c>
      <c r="G899" s="647" t="s">
        <v>7872</v>
      </c>
      <c r="H899" s="649"/>
      <c r="I899" s="649"/>
      <c r="J899" s="647">
        <v>320581</v>
      </c>
      <c r="K899" s="647" t="s">
        <v>3860</v>
      </c>
      <c r="L899" s="647" t="s">
        <v>7873</v>
      </c>
      <c r="M899" s="647" t="s">
        <v>3826</v>
      </c>
      <c r="N899" s="648" t="e">
        <v>#N/A</v>
      </c>
    </row>
    <row r="900" spans="1:14" x14ac:dyDescent="0.35">
      <c r="A900" s="647">
        <v>6721</v>
      </c>
      <c r="B900" s="647" t="s">
        <v>7874</v>
      </c>
      <c r="C900" s="647" t="s">
        <v>7875</v>
      </c>
      <c r="D900" s="647" t="s">
        <v>3666</v>
      </c>
      <c r="E900" s="647" t="s">
        <v>3648</v>
      </c>
      <c r="F900" s="647">
        <v>24502</v>
      </c>
      <c r="G900" s="647" t="s">
        <v>7876</v>
      </c>
      <c r="H900" s="647" t="s">
        <v>3944</v>
      </c>
      <c r="I900" s="647" t="s">
        <v>3823</v>
      </c>
      <c r="J900" s="647">
        <v>7465016</v>
      </c>
      <c r="K900" s="647" t="s">
        <v>4782</v>
      </c>
      <c r="L900" s="647" t="s">
        <v>7877</v>
      </c>
      <c r="M900" s="647" t="s">
        <v>3826</v>
      </c>
      <c r="N900" s="648">
        <v>40369</v>
      </c>
    </row>
    <row r="901" spans="1:14" x14ac:dyDescent="0.35">
      <c r="A901" s="647">
        <v>6722</v>
      </c>
      <c r="B901" s="647" t="s">
        <v>7878</v>
      </c>
      <c r="C901" s="647" t="s">
        <v>7879</v>
      </c>
      <c r="D901" s="647" t="s">
        <v>3184</v>
      </c>
      <c r="E901" s="647" t="s">
        <v>3648</v>
      </c>
      <c r="F901" s="647">
        <v>24151</v>
      </c>
      <c r="G901" s="647" t="s">
        <v>7880</v>
      </c>
      <c r="H901" s="647" t="s">
        <v>3944</v>
      </c>
      <c r="I901" s="647" t="s">
        <v>3823</v>
      </c>
      <c r="J901" s="647">
        <v>2210371</v>
      </c>
      <c r="K901" s="647" t="s">
        <v>4164</v>
      </c>
      <c r="L901" s="647" t="s">
        <v>3318</v>
      </c>
      <c r="M901" s="647" t="s">
        <v>3826</v>
      </c>
      <c r="N901" s="648">
        <v>40309</v>
      </c>
    </row>
    <row r="902" spans="1:14" x14ac:dyDescent="0.35">
      <c r="A902" s="647">
        <v>6724</v>
      </c>
      <c r="B902" s="647" t="s">
        <v>7881</v>
      </c>
      <c r="C902" s="647" t="s">
        <v>7882</v>
      </c>
      <c r="D902" s="647" t="s">
        <v>2611</v>
      </c>
      <c r="E902" s="647" t="s">
        <v>3648</v>
      </c>
      <c r="F902" s="647">
        <v>24450</v>
      </c>
      <c r="G902" s="647" t="s">
        <v>7883</v>
      </c>
      <c r="H902" s="649"/>
      <c r="I902" s="649"/>
      <c r="J902" s="647">
        <v>621779</v>
      </c>
      <c r="K902" s="647" t="s">
        <v>4248</v>
      </c>
      <c r="L902" s="647" t="s">
        <v>7884</v>
      </c>
      <c r="M902" s="647" t="s">
        <v>4078</v>
      </c>
      <c r="N902" s="648" t="e">
        <v>#N/A</v>
      </c>
    </row>
    <row r="903" spans="1:14" x14ac:dyDescent="0.35">
      <c r="A903" s="647">
        <v>6730</v>
      </c>
      <c r="B903" s="647" t="s">
        <v>7885</v>
      </c>
      <c r="C903" s="647" t="s">
        <v>7886</v>
      </c>
      <c r="D903" s="647" t="s">
        <v>3671</v>
      </c>
      <c r="E903" s="647" t="s">
        <v>3648</v>
      </c>
      <c r="F903" s="647">
        <v>24592</v>
      </c>
      <c r="G903" s="647" t="s">
        <v>7887</v>
      </c>
      <c r="H903" s="647" t="s">
        <v>3822</v>
      </c>
      <c r="I903" s="647" t="s">
        <v>3823</v>
      </c>
      <c r="J903" s="647">
        <v>686905</v>
      </c>
      <c r="K903" s="647" t="s">
        <v>7888</v>
      </c>
      <c r="L903" s="647" t="s">
        <v>7889</v>
      </c>
      <c r="M903" s="647" t="s">
        <v>3826</v>
      </c>
      <c r="N903" s="648" t="e">
        <v>#N/A</v>
      </c>
    </row>
    <row r="904" spans="1:14" x14ac:dyDescent="0.35">
      <c r="A904" s="647">
        <v>6731</v>
      </c>
      <c r="B904" s="647" t="s">
        <v>7890</v>
      </c>
      <c r="C904" s="647" t="s">
        <v>7891</v>
      </c>
      <c r="D904" s="647" t="s">
        <v>2491</v>
      </c>
      <c r="E904" s="647" t="s">
        <v>3648</v>
      </c>
      <c r="F904" s="647">
        <v>24112</v>
      </c>
      <c r="G904" s="647" t="s">
        <v>7892</v>
      </c>
      <c r="H904" s="647" t="s">
        <v>3944</v>
      </c>
      <c r="I904" s="647" t="s">
        <v>3823</v>
      </c>
      <c r="J904" s="647">
        <v>1716011</v>
      </c>
      <c r="K904" s="647" t="s">
        <v>5019</v>
      </c>
      <c r="L904" s="647" t="s">
        <v>7893</v>
      </c>
      <c r="M904" s="647" t="s">
        <v>3826</v>
      </c>
      <c r="N904" s="648">
        <v>40178</v>
      </c>
    </row>
    <row r="905" spans="1:14" x14ac:dyDescent="0.35">
      <c r="A905" s="647">
        <v>6733</v>
      </c>
      <c r="B905" s="647" t="s">
        <v>7894</v>
      </c>
      <c r="C905" s="647" t="s">
        <v>7895</v>
      </c>
      <c r="D905" s="647" t="s">
        <v>3674</v>
      </c>
      <c r="E905" s="647" t="s">
        <v>3648</v>
      </c>
      <c r="F905" s="647">
        <v>23693</v>
      </c>
      <c r="G905" s="647" t="s">
        <v>7896</v>
      </c>
      <c r="H905" s="647" t="s">
        <v>3822</v>
      </c>
      <c r="I905" s="647" t="s">
        <v>3823</v>
      </c>
      <c r="J905" s="647">
        <v>17124918</v>
      </c>
      <c r="K905" s="647" t="s">
        <v>4527</v>
      </c>
      <c r="L905" s="647" t="s">
        <v>6804</v>
      </c>
      <c r="M905" s="647" t="s">
        <v>3826</v>
      </c>
      <c r="N905" s="648">
        <v>40283</v>
      </c>
    </row>
    <row r="906" spans="1:14" x14ac:dyDescent="0.35">
      <c r="A906" s="647">
        <v>6737</v>
      </c>
      <c r="B906" s="647" t="s">
        <v>7897</v>
      </c>
      <c r="C906" s="647" t="s">
        <v>7898</v>
      </c>
      <c r="D906" s="647" t="s">
        <v>2940</v>
      </c>
      <c r="E906" s="647" t="s">
        <v>3648</v>
      </c>
      <c r="F906" s="647">
        <v>23510</v>
      </c>
      <c r="G906" s="647" t="s">
        <v>7899</v>
      </c>
      <c r="H906" s="647" t="s">
        <v>3822</v>
      </c>
      <c r="I906" s="647" t="s">
        <v>3823</v>
      </c>
      <c r="J906" s="647">
        <v>44450869</v>
      </c>
      <c r="K906" s="647" t="s">
        <v>5672</v>
      </c>
      <c r="L906" s="647" t="s">
        <v>7900</v>
      </c>
      <c r="M906" s="647" t="s">
        <v>3836</v>
      </c>
      <c r="N906" s="648">
        <v>40179</v>
      </c>
    </row>
    <row r="907" spans="1:14" x14ac:dyDescent="0.35">
      <c r="A907" s="647">
        <v>6741</v>
      </c>
      <c r="B907" s="647" t="s">
        <v>7901</v>
      </c>
      <c r="C907" s="647" t="s">
        <v>7902</v>
      </c>
      <c r="D907" s="647" t="s">
        <v>2940</v>
      </c>
      <c r="E907" s="647" t="s">
        <v>3648</v>
      </c>
      <c r="F907" s="647">
        <v>6897</v>
      </c>
      <c r="G907" s="647" t="s">
        <v>7903</v>
      </c>
      <c r="H907" s="649"/>
      <c r="I907" s="649"/>
      <c r="J907" s="647">
        <v>1048999</v>
      </c>
      <c r="K907" s="647" t="s">
        <v>5546</v>
      </c>
      <c r="L907" s="647" t="s">
        <v>7904</v>
      </c>
      <c r="M907" s="647" t="s">
        <v>3826</v>
      </c>
      <c r="N907" s="648" t="e">
        <v>#N/A</v>
      </c>
    </row>
    <row r="908" spans="1:14" x14ac:dyDescent="0.35">
      <c r="A908" s="647">
        <v>6742</v>
      </c>
      <c r="B908" s="647" t="s">
        <v>7905</v>
      </c>
      <c r="C908" s="647" t="s">
        <v>7906</v>
      </c>
      <c r="D908" s="647" t="s">
        <v>3678</v>
      </c>
      <c r="E908" s="647" t="s">
        <v>3648</v>
      </c>
      <c r="F908" s="647">
        <v>23927</v>
      </c>
      <c r="G908" s="647" t="s">
        <v>7907</v>
      </c>
      <c r="H908" s="647" t="s">
        <v>3944</v>
      </c>
      <c r="I908" s="647" t="s">
        <v>3823</v>
      </c>
      <c r="J908" s="647">
        <v>197087</v>
      </c>
      <c r="K908" s="647" t="s">
        <v>4030</v>
      </c>
      <c r="L908" s="647" t="s">
        <v>6790</v>
      </c>
      <c r="M908" s="647" t="s">
        <v>4078</v>
      </c>
      <c r="N908" s="648">
        <v>40360</v>
      </c>
    </row>
    <row r="909" spans="1:14" x14ac:dyDescent="0.35">
      <c r="A909" s="647">
        <v>6753</v>
      </c>
      <c r="B909" s="647" t="s">
        <v>7908</v>
      </c>
      <c r="C909" s="647" t="s">
        <v>7909</v>
      </c>
      <c r="D909" s="647" t="s">
        <v>2968</v>
      </c>
      <c r="E909" s="647" t="s">
        <v>3648</v>
      </c>
      <c r="F909" s="647">
        <v>23703</v>
      </c>
      <c r="G909" s="647" t="s">
        <v>7910</v>
      </c>
      <c r="H909" s="647" t="s">
        <v>3822</v>
      </c>
      <c r="I909" s="647" t="s">
        <v>3823</v>
      </c>
      <c r="J909" s="647">
        <v>2415959</v>
      </c>
      <c r="K909" s="647" t="s">
        <v>3840</v>
      </c>
      <c r="L909" s="647" t="s">
        <v>7911</v>
      </c>
      <c r="M909" s="647" t="s">
        <v>3826</v>
      </c>
      <c r="N909" s="648">
        <v>40210</v>
      </c>
    </row>
    <row r="910" spans="1:14" x14ac:dyDescent="0.35">
      <c r="A910" s="647">
        <v>6759</v>
      </c>
      <c r="B910" s="647" t="s">
        <v>7912</v>
      </c>
      <c r="C910" s="647" t="s">
        <v>7913</v>
      </c>
      <c r="D910" s="647" t="s">
        <v>3681</v>
      </c>
      <c r="E910" s="647" t="s">
        <v>3648</v>
      </c>
      <c r="F910" s="647">
        <v>23847</v>
      </c>
      <c r="G910" s="647" t="s">
        <v>7914</v>
      </c>
      <c r="H910" s="647" t="s">
        <v>3822</v>
      </c>
      <c r="I910" s="647" t="s">
        <v>3823</v>
      </c>
      <c r="J910" s="647">
        <v>454788</v>
      </c>
      <c r="K910" s="647" t="s">
        <v>7915</v>
      </c>
      <c r="L910" s="647" t="s">
        <v>7916</v>
      </c>
      <c r="M910" s="647" t="s">
        <v>3826</v>
      </c>
      <c r="N910" s="648">
        <v>40243</v>
      </c>
    </row>
    <row r="911" spans="1:14" x14ac:dyDescent="0.35">
      <c r="A911" s="647">
        <v>6760</v>
      </c>
      <c r="B911" s="647" t="s">
        <v>7917</v>
      </c>
      <c r="C911" s="647" t="s">
        <v>7918</v>
      </c>
      <c r="D911" s="647" t="s">
        <v>3683</v>
      </c>
      <c r="E911" s="647" t="s">
        <v>3648</v>
      </c>
      <c r="F911" s="647">
        <v>98501</v>
      </c>
      <c r="G911" s="647" t="s">
        <v>7919</v>
      </c>
      <c r="H911" s="649"/>
      <c r="I911" s="649"/>
      <c r="J911" s="647">
        <v>204849</v>
      </c>
      <c r="K911" s="647" t="s">
        <v>7888</v>
      </c>
      <c r="L911" s="647" t="s">
        <v>7889</v>
      </c>
      <c r="M911" s="647" t="s">
        <v>3826</v>
      </c>
      <c r="N911" s="648" t="e">
        <v>#N/A</v>
      </c>
    </row>
    <row r="912" spans="1:14" x14ac:dyDescent="0.35">
      <c r="A912" s="647">
        <v>6765</v>
      </c>
      <c r="B912" s="647" t="s">
        <v>7920</v>
      </c>
      <c r="C912" s="647" t="s">
        <v>7921</v>
      </c>
      <c r="D912" s="647" t="s">
        <v>3685</v>
      </c>
      <c r="E912" s="647" t="s">
        <v>3648</v>
      </c>
      <c r="F912" s="647">
        <v>24301</v>
      </c>
      <c r="G912" s="647" t="s">
        <v>7922</v>
      </c>
      <c r="H912" s="647" t="s">
        <v>3944</v>
      </c>
      <c r="I912" s="647" t="s">
        <v>3823</v>
      </c>
      <c r="J912" s="647">
        <v>521131</v>
      </c>
      <c r="K912" s="647" t="s">
        <v>4248</v>
      </c>
      <c r="L912" s="647" t="s">
        <v>7923</v>
      </c>
      <c r="M912" s="647" t="s">
        <v>3826</v>
      </c>
      <c r="N912" s="648">
        <v>40483</v>
      </c>
    </row>
    <row r="913" spans="1:14" x14ac:dyDescent="0.35">
      <c r="A913" s="647">
        <v>6769</v>
      </c>
      <c r="B913" s="647" t="s">
        <v>7924</v>
      </c>
      <c r="C913" s="647" t="s">
        <v>7925</v>
      </c>
      <c r="D913" s="647" t="s">
        <v>2524</v>
      </c>
      <c r="E913" s="647" t="s">
        <v>3648</v>
      </c>
      <c r="F913" s="647">
        <v>23220</v>
      </c>
      <c r="G913" s="647" t="s">
        <v>7926</v>
      </c>
      <c r="H913" s="647" t="s">
        <v>3822</v>
      </c>
      <c r="I913" s="647" t="s">
        <v>3823</v>
      </c>
      <c r="J913" s="647">
        <v>36514720</v>
      </c>
      <c r="K913" s="647" t="s">
        <v>5407</v>
      </c>
      <c r="L913" s="647" t="s">
        <v>4077</v>
      </c>
      <c r="M913" s="647" t="s">
        <v>3836</v>
      </c>
      <c r="N913" s="648">
        <v>40178</v>
      </c>
    </row>
    <row r="914" spans="1:14" x14ac:dyDescent="0.35">
      <c r="A914" s="647">
        <v>6797</v>
      </c>
      <c r="B914" s="647" t="s">
        <v>7927</v>
      </c>
      <c r="C914" s="647" t="s">
        <v>7928</v>
      </c>
      <c r="D914" s="647" t="s">
        <v>3688</v>
      </c>
      <c r="E914" s="647" t="s">
        <v>3648</v>
      </c>
      <c r="F914" s="647">
        <v>24009</v>
      </c>
      <c r="G914" s="647" t="s">
        <v>7929</v>
      </c>
      <c r="H914" s="647" t="s">
        <v>3944</v>
      </c>
      <c r="I914" s="647" t="s">
        <v>3823</v>
      </c>
      <c r="J914" s="647">
        <v>6970338</v>
      </c>
      <c r="K914" s="647" t="s">
        <v>7930</v>
      </c>
      <c r="L914" s="647" t="s">
        <v>5206</v>
      </c>
      <c r="M914" s="647" t="s">
        <v>3826</v>
      </c>
      <c r="N914" s="648">
        <v>40422</v>
      </c>
    </row>
    <row r="915" spans="1:14" x14ac:dyDescent="0.35">
      <c r="A915" s="647">
        <v>6803</v>
      </c>
      <c r="B915" s="647" t="s">
        <v>7931</v>
      </c>
      <c r="C915" s="647" t="s">
        <v>7932</v>
      </c>
      <c r="D915" s="647" t="s">
        <v>3690</v>
      </c>
      <c r="E915" s="647" t="s">
        <v>3648</v>
      </c>
      <c r="F915" s="647">
        <v>24401</v>
      </c>
      <c r="G915" s="647" t="s">
        <v>7933</v>
      </c>
      <c r="H915" s="647" t="s">
        <v>3944</v>
      </c>
      <c r="I915" s="647" t="s">
        <v>3823</v>
      </c>
      <c r="J915" s="647">
        <v>2021485</v>
      </c>
      <c r="K915" s="647" t="s">
        <v>4609</v>
      </c>
      <c r="L915" s="647" t="s">
        <v>7934</v>
      </c>
      <c r="M915" s="647" t="s">
        <v>3826</v>
      </c>
      <c r="N915" s="648">
        <v>40391</v>
      </c>
    </row>
    <row r="916" spans="1:14" x14ac:dyDescent="0.35">
      <c r="A916" s="647">
        <v>6807</v>
      </c>
      <c r="B916" s="647" t="s">
        <v>7935</v>
      </c>
      <c r="C916" s="647" t="s">
        <v>7936</v>
      </c>
      <c r="D916" s="647" t="s">
        <v>3481</v>
      </c>
      <c r="E916" s="647" t="s">
        <v>3648</v>
      </c>
      <c r="F916" s="647">
        <v>22980</v>
      </c>
      <c r="G916" s="647" t="s">
        <v>7937</v>
      </c>
      <c r="H916" s="647" t="s">
        <v>3944</v>
      </c>
      <c r="I916" s="647" t="s">
        <v>3823</v>
      </c>
      <c r="J916" s="647">
        <v>1268203</v>
      </c>
      <c r="K916" s="647" t="s">
        <v>4067</v>
      </c>
      <c r="L916" s="647" t="s">
        <v>7938</v>
      </c>
      <c r="M916" s="647" t="s">
        <v>3826</v>
      </c>
      <c r="N916" s="648">
        <v>40204</v>
      </c>
    </row>
    <row r="917" spans="1:14" x14ac:dyDescent="0.35">
      <c r="A917" s="647">
        <v>6809</v>
      </c>
      <c r="B917" s="647" t="s">
        <v>7939</v>
      </c>
      <c r="C917" s="647" t="s">
        <v>7940</v>
      </c>
      <c r="D917" s="647" t="s">
        <v>7941</v>
      </c>
      <c r="E917" s="647" t="s">
        <v>3648</v>
      </c>
      <c r="F917" s="647">
        <v>24651</v>
      </c>
      <c r="G917" s="647" t="s">
        <v>7942</v>
      </c>
      <c r="H917" s="647" t="s">
        <v>3944</v>
      </c>
      <c r="I917" s="647" t="s">
        <v>3823</v>
      </c>
      <c r="J917" s="647"/>
      <c r="K917" s="647" t="s">
        <v>6669</v>
      </c>
      <c r="L917" s="647" t="s">
        <v>7943</v>
      </c>
      <c r="M917" s="647" t="s">
        <v>3826</v>
      </c>
      <c r="N917" s="648">
        <v>40325</v>
      </c>
    </row>
    <row r="918" spans="1:14" x14ac:dyDescent="0.35">
      <c r="A918" s="647">
        <v>6811</v>
      </c>
      <c r="B918" s="647" t="s">
        <v>7944</v>
      </c>
      <c r="C918" s="647" t="s">
        <v>7945</v>
      </c>
      <c r="D918" s="647" t="s">
        <v>3693</v>
      </c>
      <c r="E918" s="647" t="s">
        <v>3694</v>
      </c>
      <c r="F918" s="647">
        <v>98550</v>
      </c>
      <c r="G918" s="647" t="s">
        <v>7946</v>
      </c>
      <c r="H918" s="647" t="s">
        <v>3917</v>
      </c>
      <c r="I918" s="647" t="s">
        <v>5257</v>
      </c>
      <c r="J918" s="647">
        <v>2779157</v>
      </c>
      <c r="K918" s="647" t="s">
        <v>7947</v>
      </c>
      <c r="L918" s="647" t="s">
        <v>4008</v>
      </c>
      <c r="M918" s="647" t="s">
        <v>3826</v>
      </c>
      <c r="N918" s="648">
        <v>40268</v>
      </c>
    </row>
    <row r="919" spans="1:14" x14ac:dyDescent="0.35">
      <c r="A919" s="647">
        <v>6819</v>
      </c>
      <c r="B919" s="647" t="s">
        <v>7948</v>
      </c>
      <c r="C919" s="647" t="s">
        <v>7949</v>
      </c>
      <c r="D919" s="647" t="s">
        <v>3696</v>
      </c>
      <c r="E919" s="647" t="s">
        <v>3694</v>
      </c>
      <c r="F919" s="647">
        <v>40330</v>
      </c>
      <c r="G919" s="647" t="s">
        <v>7950</v>
      </c>
      <c r="H919" s="649"/>
      <c r="I919" s="649"/>
      <c r="J919" s="647">
        <v>4037058</v>
      </c>
      <c r="K919" s="647" t="s">
        <v>4164</v>
      </c>
      <c r="L919" s="647" t="s">
        <v>7951</v>
      </c>
      <c r="M919" s="647" t="s">
        <v>3826</v>
      </c>
      <c r="N919" s="648" t="e">
        <v>#N/A</v>
      </c>
    </row>
    <row r="920" spans="1:14" x14ac:dyDescent="0.35">
      <c r="A920" s="647">
        <v>6827</v>
      </c>
      <c r="B920" s="647" t="s">
        <v>7952</v>
      </c>
      <c r="C920" s="647" t="s">
        <v>7953</v>
      </c>
      <c r="D920" s="647" t="s">
        <v>3698</v>
      </c>
      <c r="E920" s="647" t="s">
        <v>3694</v>
      </c>
      <c r="F920" s="647">
        <v>98362</v>
      </c>
      <c r="G920" s="647" t="s">
        <v>7954</v>
      </c>
      <c r="H920" s="647" t="s">
        <v>3917</v>
      </c>
      <c r="I920" s="647" t="s">
        <v>5257</v>
      </c>
      <c r="J920" s="647">
        <v>2119525</v>
      </c>
      <c r="K920" s="647" t="s">
        <v>4777</v>
      </c>
      <c r="L920" s="647" t="s">
        <v>7955</v>
      </c>
      <c r="M920" s="647" t="s">
        <v>3826</v>
      </c>
      <c r="N920" s="648">
        <v>40360</v>
      </c>
    </row>
    <row r="921" spans="1:14" x14ac:dyDescent="0.35">
      <c r="A921" s="647">
        <v>6835</v>
      </c>
      <c r="B921" s="647" t="s">
        <v>7956</v>
      </c>
      <c r="C921" s="647" t="s">
        <v>7957</v>
      </c>
      <c r="D921" s="647" t="s">
        <v>3700</v>
      </c>
      <c r="E921" s="647" t="s">
        <v>3694</v>
      </c>
      <c r="F921" s="647">
        <v>98201</v>
      </c>
      <c r="G921" s="647" t="s">
        <v>7958</v>
      </c>
      <c r="H921" s="647" t="s">
        <v>4117</v>
      </c>
      <c r="I921" s="647" t="s">
        <v>5257</v>
      </c>
      <c r="J921" s="647">
        <v>19119630</v>
      </c>
      <c r="K921" s="647" t="s">
        <v>3855</v>
      </c>
      <c r="L921" s="647" t="s">
        <v>7959</v>
      </c>
      <c r="M921" s="647" t="s">
        <v>3826</v>
      </c>
      <c r="N921" s="648">
        <v>40422</v>
      </c>
    </row>
    <row r="922" spans="1:14" x14ac:dyDescent="0.35">
      <c r="A922" s="647">
        <v>6847</v>
      </c>
      <c r="B922" s="647" t="s">
        <v>7960</v>
      </c>
      <c r="C922" s="647" t="s">
        <v>7961</v>
      </c>
      <c r="D922" s="647" t="s">
        <v>3702</v>
      </c>
      <c r="E922" s="647" t="s">
        <v>3694</v>
      </c>
      <c r="F922" s="647">
        <v>98632</v>
      </c>
      <c r="G922" s="647" t="s">
        <v>7962</v>
      </c>
      <c r="H922" s="647" t="s">
        <v>3917</v>
      </c>
      <c r="I922" s="647" t="s">
        <v>5257</v>
      </c>
      <c r="J922" s="647">
        <v>1161909</v>
      </c>
      <c r="K922" s="647" t="s">
        <v>7963</v>
      </c>
      <c r="L922" s="647" t="s">
        <v>7964</v>
      </c>
      <c r="M922" s="647" t="s">
        <v>3826</v>
      </c>
      <c r="N922" s="648">
        <v>40360</v>
      </c>
    </row>
    <row r="923" spans="1:14" x14ac:dyDescent="0.35">
      <c r="A923" s="647">
        <v>6851</v>
      </c>
      <c r="B923" s="647" t="s">
        <v>7965</v>
      </c>
      <c r="C923" s="647" t="s">
        <v>7966</v>
      </c>
      <c r="D923" s="647" t="s">
        <v>3704</v>
      </c>
      <c r="E923" s="647" t="s">
        <v>3694</v>
      </c>
      <c r="F923" s="647">
        <v>99352</v>
      </c>
      <c r="G923" s="647" t="s">
        <v>7967</v>
      </c>
      <c r="H923" s="647" t="s">
        <v>3917</v>
      </c>
      <c r="I923" s="647" t="s">
        <v>5257</v>
      </c>
      <c r="J923" s="647">
        <v>1529484</v>
      </c>
      <c r="K923" s="647" t="s">
        <v>4668</v>
      </c>
      <c r="L923" s="647" t="s">
        <v>7968</v>
      </c>
      <c r="M923" s="647" t="s">
        <v>3826</v>
      </c>
      <c r="N923" s="648">
        <v>40330</v>
      </c>
    </row>
    <row r="924" spans="1:14" x14ac:dyDescent="0.35">
      <c r="A924" s="647">
        <v>6855</v>
      </c>
      <c r="B924" s="647" t="s">
        <v>7969</v>
      </c>
      <c r="C924" s="647" t="s">
        <v>7970</v>
      </c>
      <c r="D924" s="647" t="s">
        <v>3271</v>
      </c>
      <c r="E924" s="647" t="s">
        <v>3694</v>
      </c>
      <c r="F924" s="647">
        <v>98273</v>
      </c>
      <c r="G924" s="647" t="s">
        <v>7971</v>
      </c>
      <c r="H924" s="647" t="s">
        <v>3917</v>
      </c>
      <c r="I924" s="647" t="s">
        <v>5257</v>
      </c>
      <c r="J924" s="647">
        <v>3549722</v>
      </c>
      <c r="K924" s="647" t="s">
        <v>3885</v>
      </c>
      <c r="L924" s="647" t="s">
        <v>7972</v>
      </c>
      <c r="M924" s="647" t="s">
        <v>4078</v>
      </c>
      <c r="N924" s="648">
        <v>40238</v>
      </c>
    </row>
    <row r="925" spans="1:14" x14ac:dyDescent="0.35">
      <c r="A925" s="647">
        <v>6859</v>
      </c>
      <c r="B925" s="647" t="s">
        <v>7973</v>
      </c>
      <c r="C925" s="647" t="s">
        <v>7974</v>
      </c>
      <c r="D925" s="647" t="s">
        <v>3707</v>
      </c>
      <c r="E925" s="647" t="s">
        <v>3694</v>
      </c>
      <c r="F925" s="647">
        <v>91360</v>
      </c>
      <c r="G925" s="647" t="s">
        <v>7975</v>
      </c>
      <c r="H925" s="649"/>
      <c r="I925" s="649"/>
      <c r="J925" s="647">
        <v>8002765</v>
      </c>
      <c r="K925" s="647" t="s">
        <v>4453</v>
      </c>
      <c r="L925" s="647" t="s">
        <v>7976</v>
      </c>
      <c r="M925" s="647" t="s">
        <v>3836</v>
      </c>
      <c r="N925" s="648" t="e">
        <v>#N/A</v>
      </c>
    </row>
    <row r="926" spans="1:14" x14ac:dyDescent="0.35">
      <c r="A926" s="647">
        <v>6867</v>
      </c>
      <c r="B926" s="647" t="s">
        <v>7977</v>
      </c>
      <c r="C926" s="647" t="s">
        <v>7978</v>
      </c>
      <c r="D926" s="647" t="s">
        <v>3709</v>
      </c>
      <c r="E926" s="647" t="s">
        <v>3694</v>
      </c>
      <c r="F926" s="647">
        <v>99164</v>
      </c>
      <c r="G926" s="647" t="s">
        <v>7979</v>
      </c>
      <c r="H926" s="649"/>
      <c r="I926" s="649"/>
      <c r="J926" s="647"/>
      <c r="K926" s="647" t="s">
        <v>7980</v>
      </c>
      <c r="L926" s="647" t="s">
        <v>7981</v>
      </c>
      <c r="M926" s="647" t="s">
        <v>3826</v>
      </c>
      <c r="N926" s="648" t="e">
        <v>#N/A</v>
      </c>
    </row>
    <row r="927" spans="1:14" x14ac:dyDescent="0.35">
      <c r="A927" s="647">
        <v>6871</v>
      </c>
      <c r="B927" s="647" t="s">
        <v>7982</v>
      </c>
      <c r="C927" s="647" t="s">
        <v>7983</v>
      </c>
      <c r="D927" s="647" t="s">
        <v>3711</v>
      </c>
      <c r="E927" s="647" t="s">
        <v>3694</v>
      </c>
      <c r="F927" s="647">
        <v>98104</v>
      </c>
      <c r="G927" s="647" t="s">
        <v>7984</v>
      </c>
      <c r="H927" s="647" t="s">
        <v>3917</v>
      </c>
      <c r="I927" s="647" t="s">
        <v>5257</v>
      </c>
      <c r="J927" s="647">
        <v>57102755</v>
      </c>
      <c r="K927" s="647" t="s">
        <v>3885</v>
      </c>
      <c r="L927" s="647" t="s">
        <v>7985</v>
      </c>
      <c r="M927" s="647" t="s">
        <v>3826</v>
      </c>
      <c r="N927" s="648">
        <v>40330</v>
      </c>
    </row>
    <row r="928" spans="1:14" x14ac:dyDescent="0.35">
      <c r="A928" s="647">
        <v>6935</v>
      </c>
      <c r="B928" s="647" t="s">
        <v>7986</v>
      </c>
      <c r="C928" s="647" t="s">
        <v>7987</v>
      </c>
      <c r="D928" s="647" t="s">
        <v>3713</v>
      </c>
      <c r="E928" s="647" t="s">
        <v>3694</v>
      </c>
      <c r="F928" s="647">
        <v>99210</v>
      </c>
      <c r="G928" s="647" t="s">
        <v>7988</v>
      </c>
      <c r="H928" s="647" t="s">
        <v>3917</v>
      </c>
      <c r="I928" s="647" t="s">
        <v>5257</v>
      </c>
      <c r="J928" s="647">
        <v>8660105</v>
      </c>
      <c r="K928" s="647" t="s">
        <v>7989</v>
      </c>
      <c r="L928" s="647" t="s">
        <v>4135</v>
      </c>
      <c r="M928" s="647" t="s">
        <v>3826</v>
      </c>
      <c r="N928" s="648">
        <v>40360</v>
      </c>
    </row>
    <row r="929" spans="1:14" x14ac:dyDescent="0.35">
      <c r="A929" s="647">
        <v>6947</v>
      </c>
      <c r="B929" s="647" t="s">
        <v>7990</v>
      </c>
      <c r="C929" s="647" t="s">
        <v>7991</v>
      </c>
      <c r="D929" s="647" t="s">
        <v>3715</v>
      </c>
      <c r="E929" s="647" t="s">
        <v>3694</v>
      </c>
      <c r="F929" s="647">
        <v>98465</v>
      </c>
      <c r="G929" s="647" t="s">
        <v>7992</v>
      </c>
      <c r="H929" s="647" t="s">
        <v>4117</v>
      </c>
      <c r="I929" s="647" t="s">
        <v>5257</v>
      </c>
      <c r="J929" s="647">
        <v>33772037</v>
      </c>
      <c r="K929" s="647" t="s">
        <v>3885</v>
      </c>
      <c r="L929" s="647" t="s">
        <v>7993</v>
      </c>
      <c r="M929" s="647" t="s">
        <v>3826</v>
      </c>
      <c r="N929" s="648">
        <v>40178</v>
      </c>
    </row>
    <row r="930" spans="1:14" x14ac:dyDescent="0.35">
      <c r="A930" s="647">
        <v>6953</v>
      </c>
      <c r="B930" s="647" t="s">
        <v>7994</v>
      </c>
      <c r="C930" s="647" t="s">
        <v>7995</v>
      </c>
      <c r="D930" s="647" t="s">
        <v>3717</v>
      </c>
      <c r="E930" s="647" t="s">
        <v>3694</v>
      </c>
      <c r="F930" s="647">
        <v>99362</v>
      </c>
      <c r="G930" s="647" t="s">
        <v>7996</v>
      </c>
      <c r="H930" s="649"/>
      <c r="I930" s="649"/>
      <c r="J930" s="647">
        <v>2700970</v>
      </c>
      <c r="K930" s="647" t="s">
        <v>7997</v>
      </c>
      <c r="L930" s="647" t="s">
        <v>7998</v>
      </c>
      <c r="M930" s="647" t="s">
        <v>3826</v>
      </c>
      <c r="N930" s="648" t="e">
        <v>#N/A</v>
      </c>
    </row>
    <row r="931" spans="1:14" x14ac:dyDescent="0.35">
      <c r="A931" s="647">
        <v>6957</v>
      </c>
      <c r="B931" s="647" t="s">
        <v>7999</v>
      </c>
      <c r="C931" s="647" t="s">
        <v>8000</v>
      </c>
      <c r="D931" s="647" t="s">
        <v>3719</v>
      </c>
      <c r="E931" s="647" t="s">
        <v>3694</v>
      </c>
      <c r="F931" s="647">
        <v>98807</v>
      </c>
      <c r="G931" s="647" t="s">
        <v>8001</v>
      </c>
      <c r="H931" s="647" t="s">
        <v>3917</v>
      </c>
      <c r="I931" s="647" t="s">
        <v>5257</v>
      </c>
      <c r="J931" s="647">
        <v>2120127</v>
      </c>
      <c r="K931" s="647" t="s">
        <v>3865</v>
      </c>
      <c r="L931" s="647" t="s">
        <v>4700</v>
      </c>
      <c r="M931" s="647" t="s">
        <v>3826</v>
      </c>
      <c r="N931" s="648">
        <v>40209</v>
      </c>
    </row>
    <row r="932" spans="1:14" x14ac:dyDescent="0.35">
      <c r="A932" s="647">
        <v>6961</v>
      </c>
      <c r="B932" s="647" t="s">
        <v>8002</v>
      </c>
      <c r="C932" s="647" t="s">
        <v>8003</v>
      </c>
      <c r="D932" s="647" t="s">
        <v>3721</v>
      </c>
      <c r="E932" s="647" t="s">
        <v>3694</v>
      </c>
      <c r="F932" s="647">
        <v>98901</v>
      </c>
      <c r="G932" s="647" t="s">
        <v>8004</v>
      </c>
      <c r="H932" s="647" t="s">
        <v>3917</v>
      </c>
      <c r="I932" s="647" t="s">
        <v>5257</v>
      </c>
      <c r="J932" s="647">
        <v>3331866</v>
      </c>
      <c r="K932" s="647" t="s">
        <v>3885</v>
      </c>
      <c r="L932" s="647" t="s">
        <v>8005</v>
      </c>
      <c r="M932" s="647" t="s">
        <v>3826</v>
      </c>
      <c r="N932" s="648">
        <v>40373</v>
      </c>
    </row>
    <row r="933" spans="1:14" x14ac:dyDescent="0.35">
      <c r="A933" s="647">
        <v>6971</v>
      </c>
      <c r="B933" s="647" t="s">
        <v>8006</v>
      </c>
      <c r="C933" s="647" t="s">
        <v>8007</v>
      </c>
      <c r="D933" s="647" t="s">
        <v>3723</v>
      </c>
      <c r="E933" s="647" t="s">
        <v>3724</v>
      </c>
      <c r="F933" s="647">
        <v>25801</v>
      </c>
      <c r="G933" s="647" t="s">
        <v>8008</v>
      </c>
      <c r="H933" s="647" t="s">
        <v>3944</v>
      </c>
      <c r="I933" s="647" t="s">
        <v>4264</v>
      </c>
      <c r="J933" s="647">
        <v>2331263</v>
      </c>
      <c r="K933" s="647" t="s">
        <v>5085</v>
      </c>
      <c r="L933" s="647" t="s">
        <v>8009</v>
      </c>
      <c r="M933" s="647" t="s">
        <v>3826</v>
      </c>
      <c r="N933" s="648" t="e">
        <v>#N/A</v>
      </c>
    </row>
    <row r="934" spans="1:14" x14ac:dyDescent="0.35">
      <c r="A934" s="647">
        <v>6979</v>
      </c>
      <c r="B934" s="647" t="s">
        <v>8010</v>
      </c>
      <c r="C934" s="647" t="s">
        <v>8011</v>
      </c>
      <c r="D934" s="647" t="s">
        <v>3521</v>
      </c>
      <c r="E934" s="647" t="s">
        <v>3724</v>
      </c>
      <c r="F934" s="647">
        <v>25311</v>
      </c>
      <c r="G934" s="647" t="s">
        <v>8012</v>
      </c>
      <c r="H934" s="647" t="s">
        <v>3944</v>
      </c>
      <c r="I934" s="647" t="s">
        <v>3925</v>
      </c>
      <c r="J934" s="647">
        <v>4298833</v>
      </c>
      <c r="K934" s="647" t="s">
        <v>4259</v>
      </c>
      <c r="L934" s="647" t="s">
        <v>8013</v>
      </c>
      <c r="M934" s="647" t="s">
        <v>3826</v>
      </c>
      <c r="N934" s="648" t="e">
        <v>#N/A</v>
      </c>
    </row>
    <row r="935" spans="1:14" x14ac:dyDescent="0.35">
      <c r="A935" s="647">
        <v>6989</v>
      </c>
      <c r="B935" s="647" t="s">
        <v>5095</v>
      </c>
      <c r="C935" s="647" t="s">
        <v>8014</v>
      </c>
      <c r="D935" s="647" t="s">
        <v>3727</v>
      </c>
      <c r="E935" s="647" t="s">
        <v>3724</v>
      </c>
      <c r="F935" s="647" t="s">
        <v>8015</v>
      </c>
      <c r="G935" s="647" t="s">
        <v>8016</v>
      </c>
      <c r="H935" s="647" t="s">
        <v>3944</v>
      </c>
      <c r="I935" s="647" t="s">
        <v>4279</v>
      </c>
      <c r="J935" s="647">
        <v>2227764</v>
      </c>
      <c r="K935" s="647" t="s">
        <v>5038</v>
      </c>
      <c r="L935" s="647" t="s">
        <v>7304</v>
      </c>
      <c r="M935" s="647" t="s">
        <v>3826</v>
      </c>
      <c r="N935" s="648" t="e">
        <v>#N/A</v>
      </c>
    </row>
    <row r="936" spans="1:14" x14ac:dyDescent="0.35">
      <c r="A936" s="647">
        <v>6999</v>
      </c>
      <c r="B936" s="647" t="s">
        <v>8017</v>
      </c>
      <c r="C936" s="647" t="s">
        <v>8018</v>
      </c>
      <c r="D936" s="647" t="s">
        <v>3729</v>
      </c>
      <c r="E936" s="647" t="s">
        <v>3724</v>
      </c>
      <c r="F936" s="647">
        <v>26241</v>
      </c>
      <c r="G936" s="647" t="s">
        <v>8019</v>
      </c>
      <c r="H936" s="647" t="s">
        <v>3944</v>
      </c>
      <c r="I936" s="647" t="s">
        <v>3925</v>
      </c>
      <c r="J936" s="647">
        <v>429344</v>
      </c>
      <c r="K936" s="647" t="s">
        <v>7564</v>
      </c>
      <c r="L936" s="647" t="s">
        <v>8020</v>
      </c>
      <c r="M936" s="647" t="s">
        <v>4078</v>
      </c>
      <c r="N936" s="648">
        <v>40179</v>
      </c>
    </row>
    <row r="937" spans="1:14" x14ac:dyDescent="0.35">
      <c r="A937" s="647">
        <v>7007</v>
      </c>
      <c r="B937" s="647" t="s">
        <v>8021</v>
      </c>
      <c r="C937" s="647" t="s">
        <v>8022</v>
      </c>
      <c r="D937" s="647" t="s">
        <v>3731</v>
      </c>
      <c r="E937" s="647" t="s">
        <v>3724</v>
      </c>
      <c r="F937" s="647">
        <v>26302</v>
      </c>
      <c r="G937" s="647" t="s">
        <v>8023</v>
      </c>
      <c r="H937" s="647" t="s">
        <v>3944</v>
      </c>
      <c r="I937" s="647" t="s">
        <v>3925</v>
      </c>
      <c r="J937" s="647">
        <v>1232525</v>
      </c>
      <c r="K937" s="647" t="s">
        <v>4088</v>
      </c>
      <c r="L937" s="647" t="s">
        <v>8024</v>
      </c>
      <c r="M937" s="647" t="s">
        <v>3826</v>
      </c>
      <c r="N937" s="648" t="e">
        <v>#N/A</v>
      </c>
    </row>
    <row r="938" spans="1:14" x14ac:dyDescent="0.35">
      <c r="A938" s="647">
        <v>7010</v>
      </c>
      <c r="B938" s="647" t="s">
        <v>8025</v>
      </c>
      <c r="C938" s="647" t="s">
        <v>8026</v>
      </c>
      <c r="D938" s="647" t="s">
        <v>8027</v>
      </c>
      <c r="E938" s="647" t="s">
        <v>3724</v>
      </c>
      <c r="F938" s="647">
        <v>24901</v>
      </c>
      <c r="G938" s="647" t="s">
        <v>8028</v>
      </c>
      <c r="H938" s="649"/>
      <c r="I938" s="649"/>
      <c r="J938" s="647"/>
      <c r="K938" s="647" t="s">
        <v>8029</v>
      </c>
      <c r="L938" s="647" t="s">
        <v>8030</v>
      </c>
      <c r="M938" s="647" t="s">
        <v>3826</v>
      </c>
      <c r="N938" s="648" t="e">
        <v>#N/A</v>
      </c>
    </row>
    <row r="939" spans="1:14" x14ac:dyDescent="0.35">
      <c r="A939" s="647">
        <v>7015</v>
      </c>
      <c r="B939" s="647" t="s">
        <v>8031</v>
      </c>
      <c r="C939" s="647" t="s">
        <v>8032</v>
      </c>
      <c r="D939" s="647" t="s">
        <v>2475</v>
      </c>
      <c r="E939" s="647" t="s">
        <v>3724</v>
      </c>
      <c r="F939" s="647">
        <v>25701</v>
      </c>
      <c r="G939" s="647" t="s">
        <v>8033</v>
      </c>
      <c r="H939" s="647" t="s">
        <v>3944</v>
      </c>
      <c r="I939" s="647" t="s">
        <v>3925</v>
      </c>
      <c r="J939" s="647">
        <v>3945773</v>
      </c>
      <c r="K939" s="647" t="s">
        <v>5009</v>
      </c>
      <c r="L939" s="647" t="s">
        <v>8034</v>
      </c>
      <c r="M939" s="647" t="s">
        <v>3826</v>
      </c>
      <c r="N939" s="648">
        <v>40452</v>
      </c>
    </row>
    <row r="940" spans="1:14" x14ac:dyDescent="0.35">
      <c r="A940" s="647">
        <v>7025</v>
      </c>
      <c r="B940" s="647" t="s">
        <v>8035</v>
      </c>
      <c r="C940" s="647" t="s">
        <v>8036</v>
      </c>
      <c r="D940" s="647" t="s">
        <v>3734</v>
      </c>
      <c r="E940" s="647" t="s">
        <v>3724</v>
      </c>
      <c r="F940" s="647">
        <v>26104</v>
      </c>
      <c r="G940" s="647" t="s">
        <v>8037</v>
      </c>
      <c r="H940" s="647" t="s">
        <v>3944</v>
      </c>
      <c r="I940" s="647" t="s">
        <v>4279</v>
      </c>
      <c r="J940" s="647">
        <v>2263557</v>
      </c>
      <c r="K940" s="647" t="s">
        <v>4879</v>
      </c>
      <c r="L940" s="647" t="s">
        <v>4470</v>
      </c>
      <c r="M940" s="647" t="s">
        <v>3826</v>
      </c>
      <c r="N940" s="648" t="e">
        <v>#N/A</v>
      </c>
    </row>
    <row r="941" spans="1:14" x14ac:dyDescent="0.35">
      <c r="A941" s="647">
        <v>7029</v>
      </c>
      <c r="B941" s="647" t="s">
        <v>8038</v>
      </c>
      <c r="C941" s="647" t="s">
        <v>8039</v>
      </c>
      <c r="D941" s="647" t="s">
        <v>3736</v>
      </c>
      <c r="E941" s="647" t="s">
        <v>3724</v>
      </c>
      <c r="F941" s="647">
        <v>26003</v>
      </c>
      <c r="G941" s="647" t="s">
        <v>8040</v>
      </c>
      <c r="H941" s="649"/>
      <c r="I941" s="649"/>
      <c r="J941" s="647">
        <v>1020414</v>
      </c>
      <c r="K941" s="647" t="s">
        <v>4453</v>
      </c>
      <c r="L941" s="647" t="s">
        <v>8041</v>
      </c>
      <c r="M941" s="647" t="s">
        <v>3826</v>
      </c>
      <c r="N941" s="648" t="e">
        <v>#N/A</v>
      </c>
    </row>
    <row r="942" spans="1:14" x14ac:dyDescent="0.35">
      <c r="A942" s="647">
        <v>7032</v>
      </c>
      <c r="B942" s="647" t="s">
        <v>8042</v>
      </c>
      <c r="C942" s="647" t="s">
        <v>8043</v>
      </c>
      <c r="D942" s="647" t="s">
        <v>3738</v>
      </c>
      <c r="E942" s="647" t="s">
        <v>3724</v>
      </c>
      <c r="F942" s="647">
        <v>25550</v>
      </c>
      <c r="G942" s="647" t="s">
        <v>8044</v>
      </c>
      <c r="H942" s="647" t="s">
        <v>3944</v>
      </c>
      <c r="I942" s="647" t="s">
        <v>3925</v>
      </c>
      <c r="J942" s="647">
        <v>1424209</v>
      </c>
      <c r="K942" s="647" t="s">
        <v>4164</v>
      </c>
      <c r="L942" s="647" t="s">
        <v>8045</v>
      </c>
      <c r="M942" s="647" t="s">
        <v>3826</v>
      </c>
      <c r="N942" s="648">
        <v>40178</v>
      </c>
    </row>
    <row r="943" spans="1:14" x14ac:dyDescent="0.35">
      <c r="A943" s="647">
        <v>7033</v>
      </c>
      <c r="B943" s="647" t="s">
        <v>8046</v>
      </c>
      <c r="C943" s="647" t="s">
        <v>8047</v>
      </c>
      <c r="D943" s="647" t="s">
        <v>3740</v>
      </c>
      <c r="E943" s="647" t="s">
        <v>3741</v>
      </c>
      <c r="F943" s="647">
        <v>54911</v>
      </c>
      <c r="G943" s="647" t="s">
        <v>8048</v>
      </c>
      <c r="H943" s="647" t="s">
        <v>3994</v>
      </c>
      <c r="I943" s="647" t="s">
        <v>5257</v>
      </c>
      <c r="J943" s="647">
        <v>16562840</v>
      </c>
      <c r="K943" s="647" t="s">
        <v>4052</v>
      </c>
      <c r="L943" s="647" t="s">
        <v>8049</v>
      </c>
      <c r="M943" s="647" t="s">
        <v>3826</v>
      </c>
      <c r="N943" s="648">
        <v>40299</v>
      </c>
    </row>
    <row r="944" spans="1:14" x14ac:dyDescent="0.35">
      <c r="A944" s="647">
        <v>7037</v>
      </c>
      <c r="B944" s="647" t="s">
        <v>8050</v>
      </c>
      <c r="C944" s="647" t="s">
        <v>8051</v>
      </c>
      <c r="D944" s="647" t="s">
        <v>3743</v>
      </c>
      <c r="E944" s="647" t="s">
        <v>3741</v>
      </c>
      <c r="F944" s="647">
        <v>53916</v>
      </c>
      <c r="G944" s="647" t="s">
        <v>8052</v>
      </c>
      <c r="H944" s="647" t="s">
        <v>3931</v>
      </c>
      <c r="I944" s="647" t="s">
        <v>5257</v>
      </c>
      <c r="J944" s="647">
        <v>2241584</v>
      </c>
      <c r="K944" s="647" t="s">
        <v>8053</v>
      </c>
      <c r="L944" s="647" t="s">
        <v>8054</v>
      </c>
      <c r="M944" s="647" t="s">
        <v>3826</v>
      </c>
      <c r="N944" s="648">
        <v>40269</v>
      </c>
    </row>
    <row r="945" spans="1:14" x14ac:dyDescent="0.35">
      <c r="A945" s="647">
        <v>7041</v>
      </c>
      <c r="B945" s="647" t="s">
        <v>8055</v>
      </c>
      <c r="C945" s="647" t="s">
        <v>8056</v>
      </c>
      <c r="D945" s="647" t="s">
        <v>3745</v>
      </c>
      <c r="E945" s="647" t="s">
        <v>3741</v>
      </c>
      <c r="F945" s="647">
        <v>54481</v>
      </c>
      <c r="G945" s="647" t="s">
        <v>8057</v>
      </c>
      <c r="H945" s="647" t="s">
        <v>3994</v>
      </c>
      <c r="I945" s="647" t="s">
        <v>4279</v>
      </c>
      <c r="J945" s="647">
        <v>3457647</v>
      </c>
      <c r="K945" s="647" t="s">
        <v>4453</v>
      </c>
      <c r="L945" s="647" t="s">
        <v>8058</v>
      </c>
      <c r="M945" s="647" t="s">
        <v>3826</v>
      </c>
      <c r="N945" s="648" t="e">
        <v>#N/A</v>
      </c>
    </row>
    <row r="946" spans="1:14" x14ac:dyDescent="0.35">
      <c r="A946" s="647">
        <v>7043</v>
      </c>
      <c r="B946" s="647" t="s">
        <v>8059</v>
      </c>
      <c r="C946" s="647" t="s">
        <v>8060</v>
      </c>
      <c r="D946" s="647" t="s">
        <v>3747</v>
      </c>
      <c r="E946" s="647" t="s">
        <v>3741</v>
      </c>
      <c r="F946" s="647">
        <v>54512</v>
      </c>
      <c r="G946" s="647" t="s">
        <v>8061</v>
      </c>
      <c r="H946" s="647" t="s">
        <v>3931</v>
      </c>
      <c r="I946" s="647" t="s">
        <v>5257</v>
      </c>
      <c r="J946" s="647">
        <v>3288020</v>
      </c>
      <c r="K946" s="647" t="s">
        <v>8062</v>
      </c>
      <c r="L946" s="647" t="s">
        <v>8063</v>
      </c>
      <c r="M946" s="647" t="s">
        <v>3826</v>
      </c>
      <c r="N946" s="648">
        <v>40452</v>
      </c>
    </row>
    <row r="947" spans="1:14" x14ac:dyDescent="0.35">
      <c r="A947" s="647">
        <v>7048</v>
      </c>
      <c r="B947" s="647" t="s">
        <v>8064</v>
      </c>
      <c r="C947" s="647" t="s">
        <v>8065</v>
      </c>
      <c r="D947" s="647" t="s">
        <v>3749</v>
      </c>
      <c r="E947" s="647" t="s">
        <v>3741</v>
      </c>
      <c r="F947" s="647">
        <v>54729</v>
      </c>
      <c r="G947" s="647" t="s">
        <v>8066</v>
      </c>
      <c r="H947" s="647" t="s">
        <v>3931</v>
      </c>
      <c r="I947" s="647" t="s">
        <v>5257</v>
      </c>
      <c r="J947" s="647">
        <v>2669178</v>
      </c>
      <c r="K947" s="647" t="s">
        <v>5381</v>
      </c>
      <c r="L947" s="647" t="s">
        <v>8067</v>
      </c>
      <c r="M947" s="647" t="s">
        <v>4078</v>
      </c>
      <c r="N947" s="648">
        <v>40360</v>
      </c>
    </row>
    <row r="948" spans="1:14" x14ac:dyDescent="0.35">
      <c r="A948" s="647">
        <v>7049</v>
      </c>
      <c r="B948" s="647" t="s">
        <v>8068</v>
      </c>
      <c r="C948" s="647" t="s">
        <v>8069</v>
      </c>
      <c r="D948" s="647" t="s">
        <v>3751</v>
      </c>
      <c r="E948" s="647" t="s">
        <v>3741</v>
      </c>
      <c r="F948" s="647">
        <v>54701</v>
      </c>
      <c r="G948" s="647" t="s">
        <v>8070</v>
      </c>
      <c r="H948" s="647" t="s">
        <v>3994</v>
      </c>
      <c r="I948" s="647" t="s">
        <v>5257</v>
      </c>
      <c r="J948" s="647">
        <v>4930648</v>
      </c>
      <c r="K948" s="647" t="s">
        <v>4385</v>
      </c>
      <c r="L948" s="647" t="s">
        <v>8071</v>
      </c>
      <c r="M948" s="647" t="s">
        <v>4078</v>
      </c>
      <c r="N948" s="648">
        <v>40391</v>
      </c>
    </row>
    <row r="949" spans="1:14" x14ac:dyDescent="0.35">
      <c r="A949" s="647">
        <v>7053</v>
      </c>
      <c r="B949" s="647" t="s">
        <v>8072</v>
      </c>
      <c r="C949" s="647" t="s">
        <v>8073</v>
      </c>
      <c r="D949" s="647" t="s">
        <v>3753</v>
      </c>
      <c r="E949" s="647" t="s">
        <v>3741</v>
      </c>
      <c r="F949" s="647">
        <v>54935</v>
      </c>
      <c r="G949" s="647" t="s">
        <v>8074</v>
      </c>
      <c r="H949" s="649"/>
      <c r="I949" s="649"/>
      <c r="J949" s="647">
        <v>1741671</v>
      </c>
      <c r="K949" s="647" t="s">
        <v>3926</v>
      </c>
      <c r="L949" s="647" t="s">
        <v>8075</v>
      </c>
      <c r="M949" s="647" t="s">
        <v>3826</v>
      </c>
      <c r="N949" s="648" t="e">
        <v>#N/A</v>
      </c>
    </row>
    <row r="950" spans="1:14" x14ac:dyDescent="0.35">
      <c r="A950" s="647">
        <v>7057</v>
      </c>
      <c r="B950" s="647" t="s">
        <v>8076</v>
      </c>
      <c r="C950" s="647" t="s">
        <v>8077</v>
      </c>
      <c r="D950" s="647" t="s">
        <v>3755</v>
      </c>
      <c r="E950" s="647" t="s">
        <v>2768</v>
      </c>
      <c r="F950" s="647">
        <v>49858</v>
      </c>
      <c r="G950" s="647" t="s">
        <v>8078</v>
      </c>
      <c r="H950" s="649"/>
      <c r="I950" s="649"/>
      <c r="J950" s="647">
        <v>1111818</v>
      </c>
      <c r="K950" s="647" t="s">
        <v>8079</v>
      </c>
      <c r="L950" s="647" t="s">
        <v>5075</v>
      </c>
      <c r="M950" s="647" t="s">
        <v>3826</v>
      </c>
      <c r="N950" s="648" t="e">
        <v>#N/A</v>
      </c>
    </row>
    <row r="951" spans="1:14" x14ac:dyDescent="0.35">
      <c r="A951" s="647">
        <v>7061</v>
      </c>
      <c r="B951" s="647" t="s">
        <v>8080</v>
      </c>
      <c r="C951" s="647" t="s">
        <v>8081</v>
      </c>
      <c r="D951" s="647" t="s">
        <v>3757</v>
      </c>
      <c r="E951" s="647" t="s">
        <v>3741</v>
      </c>
      <c r="F951" s="647">
        <v>54301</v>
      </c>
      <c r="G951" s="647" t="s">
        <v>8082</v>
      </c>
      <c r="H951" s="647" t="s">
        <v>3994</v>
      </c>
      <c r="I951" s="647" t="s">
        <v>5257</v>
      </c>
      <c r="J951" s="647">
        <v>11838842</v>
      </c>
      <c r="K951" s="647" t="s">
        <v>5301</v>
      </c>
      <c r="L951" s="647" t="s">
        <v>5454</v>
      </c>
      <c r="M951" s="647" t="s">
        <v>3826</v>
      </c>
      <c r="N951" s="648">
        <v>40179</v>
      </c>
    </row>
    <row r="952" spans="1:14" x14ac:dyDescent="0.35">
      <c r="A952" s="647">
        <v>7066</v>
      </c>
      <c r="B952" s="647" t="s">
        <v>8083</v>
      </c>
      <c r="C952" s="647" t="s">
        <v>8084</v>
      </c>
      <c r="D952" s="647" t="s">
        <v>3759</v>
      </c>
      <c r="E952" s="647" t="s">
        <v>3741</v>
      </c>
      <c r="F952" s="647">
        <v>54235</v>
      </c>
      <c r="G952" s="647" t="s">
        <v>8085</v>
      </c>
      <c r="H952" s="647" t="s">
        <v>3994</v>
      </c>
      <c r="I952" s="647" t="s">
        <v>5257</v>
      </c>
      <c r="J952" s="647">
        <v>2751254</v>
      </c>
      <c r="K952" s="647" t="s">
        <v>4777</v>
      </c>
      <c r="L952" s="647" t="s">
        <v>3871</v>
      </c>
      <c r="M952" s="647" t="s">
        <v>4078</v>
      </c>
      <c r="N952" s="648">
        <v>40179</v>
      </c>
    </row>
    <row r="953" spans="1:14" x14ac:dyDescent="0.35">
      <c r="A953" s="647">
        <v>7067</v>
      </c>
      <c r="B953" s="647" t="s">
        <v>8086</v>
      </c>
      <c r="C953" s="647" t="s">
        <v>8087</v>
      </c>
      <c r="D953" s="647" t="s">
        <v>3761</v>
      </c>
      <c r="E953" s="647" t="s">
        <v>3741</v>
      </c>
      <c r="F953" s="647">
        <v>53548</v>
      </c>
      <c r="G953" s="647" t="s">
        <v>8088</v>
      </c>
      <c r="H953" s="647" t="s">
        <v>3994</v>
      </c>
      <c r="I953" s="647" t="s">
        <v>3937</v>
      </c>
      <c r="J953" s="647">
        <v>2164873</v>
      </c>
      <c r="K953" s="647" t="s">
        <v>4540</v>
      </c>
      <c r="L953" s="647" t="s">
        <v>8089</v>
      </c>
      <c r="M953" s="647" t="s">
        <v>3826</v>
      </c>
      <c r="N953" s="648" t="e">
        <v>#N/A</v>
      </c>
    </row>
    <row r="954" spans="1:14" x14ac:dyDescent="0.35">
      <c r="A954" s="647">
        <v>7073</v>
      </c>
      <c r="B954" s="647" t="s">
        <v>8090</v>
      </c>
      <c r="C954" s="647" t="s">
        <v>8091</v>
      </c>
      <c r="D954" s="647" t="s">
        <v>3763</v>
      </c>
      <c r="E954" s="647" t="s">
        <v>3741</v>
      </c>
      <c r="F954" s="647">
        <v>54601</v>
      </c>
      <c r="G954" s="647" t="s">
        <v>8092</v>
      </c>
      <c r="H954" s="647" t="s">
        <v>3994</v>
      </c>
      <c r="I954" s="647" t="s">
        <v>3925</v>
      </c>
      <c r="J954" s="647">
        <v>6162502</v>
      </c>
      <c r="K954" s="647" t="s">
        <v>4052</v>
      </c>
      <c r="L954" s="647" t="s">
        <v>8093</v>
      </c>
      <c r="M954" s="647" t="s">
        <v>3826</v>
      </c>
      <c r="N954" s="648" t="e">
        <v>#N/A</v>
      </c>
    </row>
    <row r="955" spans="1:14" x14ac:dyDescent="0.35">
      <c r="A955" s="647">
        <v>7077</v>
      </c>
      <c r="B955" s="647" t="s">
        <v>8094</v>
      </c>
      <c r="C955" s="647" t="s">
        <v>8095</v>
      </c>
      <c r="D955" s="647" t="s">
        <v>3765</v>
      </c>
      <c r="E955" s="647" t="s">
        <v>3741</v>
      </c>
      <c r="F955" s="647">
        <v>53147</v>
      </c>
      <c r="G955" s="647" t="s">
        <v>8096</v>
      </c>
      <c r="H955" s="649"/>
      <c r="I955" s="649"/>
      <c r="J955" s="647">
        <v>1205706</v>
      </c>
      <c r="K955" s="647" t="s">
        <v>4399</v>
      </c>
      <c r="L955" s="647" t="s">
        <v>8097</v>
      </c>
      <c r="M955" s="647" t="s">
        <v>3826</v>
      </c>
      <c r="N955" s="648" t="e">
        <v>#N/A</v>
      </c>
    </row>
    <row r="956" spans="1:14" x14ac:dyDescent="0.35">
      <c r="A956" s="647">
        <v>7081</v>
      </c>
      <c r="B956" s="647" t="s">
        <v>8098</v>
      </c>
      <c r="C956" s="647" t="s">
        <v>8099</v>
      </c>
      <c r="D956" s="647" t="s">
        <v>2999</v>
      </c>
      <c r="E956" s="647" t="s">
        <v>3741</v>
      </c>
      <c r="F956" s="647">
        <v>53717</v>
      </c>
      <c r="G956" s="647" t="s">
        <v>8100</v>
      </c>
      <c r="H956" s="647" t="s">
        <v>3994</v>
      </c>
      <c r="I956" s="647" t="s">
        <v>5257</v>
      </c>
      <c r="J956" s="647">
        <v>12048528</v>
      </c>
      <c r="K956" s="647" t="s">
        <v>6258</v>
      </c>
      <c r="L956" s="647" t="s">
        <v>3927</v>
      </c>
      <c r="M956" s="647" t="s">
        <v>3826</v>
      </c>
      <c r="N956" s="648">
        <v>40269</v>
      </c>
    </row>
    <row r="957" spans="1:14" x14ac:dyDescent="0.35">
      <c r="A957" s="647">
        <v>7095</v>
      </c>
      <c r="B957" s="647" t="s">
        <v>8101</v>
      </c>
      <c r="C957" s="647" t="s">
        <v>8102</v>
      </c>
      <c r="D957" s="647" t="s">
        <v>3768</v>
      </c>
      <c r="E957" s="647" t="s">
        <v>3741</v>
      </c>
      <c r="F957" s="647">
        <v>54449</v>
      </c>
      <c r="G957" s="647" t="s">
        <v>8103</v>
      </c>
      <c r="H957" s="647" t="s">
        <v>3994</v>
      </c>
      <c r="I957" s="647" t="s">
        <v>4264</v>
      </c>
      <c r="J957" s="647">
        <v>1628288</v>
      </c>
      <c r="K957" s="647" t="s">
        <v>4259</v>
      </c>
      <c r="L957" s="647" t="s">
        <v>8104</v>
      </c>
      <c r="M957" s="647" t="s">
        <v>3826</v>
      </c>
      <c r="N957" s="648" t="e">
        <v>#N/A</v>
      </c>
    </row>
    <row r="958" spans="1:14" x14ac:dyDescent="0.35">
      <c r="A958" s="647">
        <v>7101</v>
      </c>
      <c r="B958" s="647" t="s">
        <v>8105</v>
      </c>
      <c r="C958" s="647" t="s">
        <v>8106</v>
      </c>
      <c r="D958" s="647" t="s">
        <v>3770</v>
      </c>
      <c r="E958" s="647" t="s">
        <v>3741</v>
      </c>
      <c r="F958" s="647">
        <v>54221</v>
      </c>
      <c r="G958" s="647" t="s">
        <v>8107</v>
      </c>
      <c r="H958" s="647" t="s">
        <v>3994</v>
      </c>
      <c r="I958" s="647" t="s">
        <v>5257</v>
      </c>
      <c r="J958" s="647">
        <v>3183809</v>
      </c>
      <c r="K958" s="647" t="s">
        <v>4668</v>
      </c>
      <c r="L958" s="647" t="s">
        <v>4470</v>
      </c>
      <c r="M958" s="647" t="s">
        <v>3826</v>
      </c>
      <c r="N958" s="648">
        <v>40178</v>
      </c>
    </row>
    <row r="959" spans="1:14" x14ac:dyDescent="0.35">
      <c r="A959" s="647">
        <v>7104</v>
      </c>
      <c r="B959" s="647" t="s">
        <v>8108</v>
      </c>
      <c r="C959" s="647" t="s">
        <v>8109</v>
      </c>
      <c r="D959" s="647" t="s">
        <v>3772</v>
      </c>
      <c r="E959" s="647" t="s">
        <v>3741</v>
      </c>
      <c r="F959" s="647">
        <v>53140</v>
      </c>
      <c r="G959" s="647" t="s">
        <v>8110</v>
      </c>
      <c r="H959" s="647" t="s">
        <v>3994</v>
      </c>
      <c r="I959" s="647" t="s">
        <v>4264</v>
      </c>
      <c r="J959" s="647">
        <v>3247057</v>
      </c>
      <c r="K959" s="647" t="s">
        <v>5596</v>
      </c>
      <c r="L959" s="647" t="s">
        <v>8111</v>
      </c>
      <c r="M959" s="647" t="s">
        <v>4221</v>
      </c>
      <c r="N959" s="648" t="e">
        <v>#N/A</v>
      </c>
    </row>
    <row r="960" spans="1:14" x14ac:dyDescent="0.35">
      <c r="A960" s="647">
        <v>7105</v>
      </c>
      <c r="B960" s="647" t="s">
        <v>8112</v>
      </c>
      <c r="C960" s="647" t="s">
        <v>8113</v>
      </c>
      <c r="D960" s="647" t="s">
        <v>3774</v>
      </c>
      <c r="E960" s="647" t="s">
        <v>3741</v>
      </c>
      <c r="F960" s="647">
        <v>53203</v>
      </c>
      <c r="G960" s="647" t="s">
        <v>8114</v>
      </c>
      <c r="H960" s="647" t="s">
        <v>3994</v>
      </c>
      <c r="I960" s="647" t="s">
        <v>5257</v>
      </c>
      <c r="J960" s="647">
        <v>42446040</v>
      </c>
      <c r="K960" s="647" t="s">
        <v>3885</v>
      </c>
      <c r="L960" s="647" t="s">
        <v>8115</v>
      </c>
      <c r="M960" s="647" t="s">
        <v>3826</v>
      </c>
      <c r="N960" s="648">
        <v>40179</v>
      </c>
    </row>
    <row r="961" spans="1:14" x14ac:dyDescent="0.35">
      <c r="A961" s="647">
        <v>7109</v>
      </c>
      <c r="B961" s="647" t="s">
        <v>8116</v>
      </c>
      <c r="C961" s="647" t="s">
        <v>8117</v>
      </c>
      <c r="D961" s="647" t="s">
        <v>2648</v>
      </c>
      <c r="E961" s="647" t="s">
        <v>3741</v>
      </c>
      <c r="F961" s="647">
        <v>53566</v>
      </c>
      <c r="G961" s="647" t="s">
        <v>8118</v>
      </c>
      <c r="H961" s="647" t="s">
        <v>3994</v>
      </c>
      <c r="I961" s="647" t="s">
        <v>3925</v>
      </c>
      <c r="J961" s="647">
        <v>1069751</v>
      </c>
      <c r="K961" s="647" t="s">
        <v>5680</v>
      </c>
      <c r="L961" s="647" t="s">
        <v>8119</v>
      </c>
      <c r="M961" s="647" t="s">
        <v>3952</v>
      </c>
      <c r="N961" s="648" t="e">
        <v>#N/A</v>
      </c>
    </row>
    <row r="962" spans="1:14" x14ac:dyDescent="0.35">
      <c r="A962" s="647">
        <v>7151</v>
      </c>
      <c r="B962" s="647" t="s">
        <v>8120</v>
      </c>
      <c r="C962" s="647" t="s">
        <v>8121</v>
      </c>
      <c r="D962" s="647" t="s">
        <v>3777</v>
      </c>
      <c r="E962" s="647" t="s">
        <v>3741</v>
      </c>
      <c r="F962" s="647">
        <v>53066</v>
      </c>
      <c r="G962" s="647" t="s">
        <v>8122</v>
      </c>
      <c r="H962" s="647" t="s">
        <v>3931</v>
      </c>
      <c r="I962" s="647" t="s">
        <v>4264</v>
      </c>
      <c r="J962" s="647">
        <v>6922481</v>
      </c>
      <c r="K962" s="647" t="s">
        <v>3885</v>
      </c>
      <c r="L962" s="647" t="s">
        <v>8123</v>
      </c>
      <c r="M962" s="647" t="s">
        <v>3826</v>
      </c>
      <c r="N962" s="648">
        <v>40147</v>
      </c>
    </row>
    <row r="963" spans="1:14" x14ac:dyDescent="0.35">
      <c r="A963" s="647">
        <v>7155</v>
      </c>
      <c r="B963" s="647" t="s">
        <v>8124</v>
      </c>
      <c r="C963" s="647" t="s">
        <v>8125</v>
      </c>
      <c r="D963" s="647" t="s">
        <v>3779</v>
      </c>
      <c r="E963" s="647" t="s">
        <v>3741</v>
      </c>
      <c r="F963" s="647">
        <v>54901</v>
      </c>
      <c r="G963" s="647" t="s">
        <v>8126</v>
      </c>
      <c r="H963" s="647" t="s">
        <v>3931</v>
      </c>
      <c r="I963" s="647" t="s">
        <v>5257</v>
      </c>
      <c r="J963" s="647">
        <v>6013542</v>
      </c>
      <c r="K963" s="647" t="s">
        <v>4488</v>
      </c>
      <c r="L963" s="647" t="s">
        <v>8127</v>
      </c>
      <c r="M963" s="647" t="s">
        <v>3826</v>
      </c>
      <c r="N963" s="648">
        <v>40179</v>
      </c>
    </row>
    <row r="964" spans="1:14" x14ac:dyDescent="0.35">
      <c r="A964" s="647">
        <v>7157</v>
      </c>
      <c r="B964" s="647" t="s">
        <v>8128</v>
      </c>
      <c r="C964" s="647" t="s">
        <v>8129</v>
      </c>
      <c r="D964" s="647" t="s">
        <v>8130</v>
      </c>
      <c r="E964" s="647" t="s">
        <v>3741</v>
      </c>
      <c r="F964" s="647">
        <v>53149</v>
      </c>
      <c r="G964" s="647" t="s">
        <v>8131</v>
      </c>
      <c r="H964" s="647" t="s">
        <v>3931</v>
      </c>
      <c r="I964" s="647" t="s">
        <v>5257</v>
      </c>
      <c r="J964" s="647"/>
      <c r="K964" s="647" t="s">
        <v>4067</v>
      </c>
      <c r="L964" s="647" t="s">
        <v>8132</v>
      </c>
      <c r="M964" s="647" t="s">
        <v>3826</v>
      </c>
      <c r="N964" s="648">
        <v>40179</v>
      </c>
    </row>
    <row r="965" spans="1:14" x14ac:dyDescent="0.35">
      <c r="A965" s="647">
        <v>7159</v>
      </c>
      <c r="B965" s="647" t="s">
        <v>8133</v>
      </c>
      <c r="C965" s="647" t="s">
        <v>8134</v>
      </c>
      <c r="D965" s="647" t="s">
        <v>3781</v>
      </c>
      <c r="E965" s="647" t="s">
        <v>3741</v>
      </c>
      <c r="F965" s="647">
        <v>53403</v>
      </c>
      <c r="G965" s="647" t="s">
        <v>8135</v>
      </c>
      <c r="H965" s="647" t="s">
        <v>3994</v>
      </c>
      <c r="I965" s="647" t="s">
        <v>5257</v>
      </c>
      <c r="J965" s="647">
        <v>2254409</v>
      </c>
      <c r="K965" s="647" t="s">
        <v>4067</v>
      </c>
      <c r="L965" s="647" t="s">
        <v>8136</v>
      </c>
      <c r="M965" s="647" t="s">
        <v>3826</v>
      </c>
      <c r="N965" s="648">
        <v>40313</v>
      </c>
    </row>
    <row r="966" spans="1:14" x14ac:dyDescent="0.35">
      <c r="A966" s="647">
        <v>7162</v>
      </c>
      <c r="B966" s="647" t="s">
        <v>8137</v>
      </c>
      <c r="C966" s="647" t="s">
        <v>8138</v>
      </c>
      <c r="D966" s="647" t="s">
        <v>3783</v>
      </c>
      <c r="E966" s="647" t="s">
        <v>3741</v>
      </c>
      <c r="F966" s="647">
        <v>54501</v>
      </c>
      <c r="G966" s="647" t="s">
        <v>8139</v>
      </c>
      <c r="H966" s="647" t="s">
        <v>3931</v>
      </c>
      <c r="I966" s="647" t="s">
        <v>5257</v>
      </c>
      <c r="J966" s="647">
        <v>2318321</v>
      </c>
      <c r="K966" s="647" t="s">
        <v>3912</v>
      </c>
      <c r="L966" s="647" t="s">
        <v>8140</v>
      </c>
      <c r="M966" s="647" t="s">
        <v>3826</v>
      </c>
      <c r="N966" s="648">
        <v>40188</v>
      </c>
    </row>
    <row r="967" spans="1:14" x14ac:dyDescent="0.35">
      <c r="A967" s="647">
        <v>7163</v>
      </c>
      <c r="B967" s="647" t="s">
        <v>8141</v>
      </c>
      <c r="C967" s="647" t="s">
        <v>6135</v>
      </c>
      <c r="D967" s="647" t="s">
        <v>3785</v>
      </c>
      <c r="E967" s="647" t="s">
        <v>3741</v>
      </c>
      <c r="F967" s="647">
        <v>82801</v>
      </c>
      <c r="G967" s="647" t="s">
        <v>8142</v>
      </c>
      <c r="H967" s="647" t="s">
        <v>3994</v>
      </c>
      <c r="I967" s="647" t="s">
        <v>5257</v>
      </c>
      <c r="J967" s="647">
        <v>3209956</v>
      </c>
      <c r="K967" s="647" t="s">
        <v>8143</v>
      </c>
      <c r="L967" s="647" t="s">
        <v>8144</v>
      </c>
      <c r="M967" s="647" t="s">
        <v>4221</v>
      </c>
      <c r="N967" s="648">
        <v>40313</v>
      </c>
    </row>
    <row r="968" spans="1:14" x14ac:dyDescent="0.35">
      <c r="A968" s="647">
        <v>7167</v>
      </c>
      <c r="B968" s="647" t="s">
        <v>8145</v>
      </c>
      <c r="C968" s="647" t="s">
        <v>8146</v>
      </c>
      <c r="D968" s="647" t="s">
        <v>3787</v>
      </c>
      <c r="E968" s="647" t="s">
        <v>3741</v>
      </c>
      <c r="F968" s="647">
        <v>6360</v>
      </c>
      <c r="G968" s="647" t="s">
        <v>8147</v>
      </c>
      <c r="H968" s="647" t="s">
        <v>3931</v>
      </c>
      <c r="I968" s="647" t="s">
        <v>5257</v>
      </c>
      <c r="J968" s="647">
        <v>1882810</v>
      </c>
      <c r="K968" s="647" t="s">
        <v>3233</v>
      </c>
      <c r="L968" s="647" t="s">
        <v>4532</v>
      </c>
      <c r="M968" s="647" t="s">
        <v>4078</v>
      </c>
      <c r="N968" s="648">
        <v>40374</v>
      </c>
    </row>
    <row r="969" spans="1:14" x14ac:dyDescent="0.35">
      <c r="A969" s="647">
        <v>7169</v>
      </c>
      <c r="B969" s="647" t="s">
        <v>8148</v>
      </c>
      <c r="C969" s="647" t="s">
        <v>8149</v>
      </c>
      <c r="D969" s="647" t="s">
        <v>3789</v>
      </c>
      <c r="E969" s="647" t="s">
        <v>3741</v>
      </c>
      <c r="F969" s="647">
        <v>18032</v>
      </c>
      <c r="G969" s="647" t="s">
        <v>8150</v>
      </c>
      <c r="H969" s="647" t="s">
        <v>3931</v>
      </c>
      <c r="I969" s="647" t="s">
        <v>5257</v>
      </c>
      <c r="J969" s="647">
        <v>3737077</v>
      </c>
      <c r="K969" s="647" t="s">
        <v>4503</v>
      </c>
      <c r="L969" s="647" t="s">
        <v>6047</v>
      </c>
      <c r="M969" s="647" t="s">
        <v>3826</v>
      </c>
      <c r="N969" s="648">
        <v>40179</v>
      </c>
    </row>
    <row r="970" spans="1:14" x14ac:dyDescent="0.35">
      <c r="A970" s="647">
        <v>7171</v>
      </c>
      <c r="B970" s="647" t="s">
        <v>8151</v>
      </c>
      <c r="C970" s="647" t="s">
        <v>8152</v>
      </c>
      <c r="D970" s="647" t="s">
        <v>3791</v>
      </c>
      <c r="E970" s="647" t="s">
        <v>3741</v>
      </c>
      <c r="F970" s="647">
        <v>32301</v>
      </c>
      <c r="G970" s="647" t="s">
        <v>8153</v>
      </c>
      <c r="H970" s="647" t="s">
        <v>3994</v>
      </c>
      <c r="I970" s="647" t="s">
        <v>4264</v>
      </c>
      <c r="J970" s="647">
        <v>1642877</v>
      </c>
      <c r="K970" s="647" t="s">
        <v>4453</v>
      </c>
      <c r="L970" s="647" t="s">
        <v>8154</v>
      </c>
      <c r="M970" s="647" t="s">
        <v>3826</v>
      </c>
      <c r="N970" s="648" t="e">
        <v>#N/A</v>
      </c>
    </row>
    <row r="971" spans="1:14" x14ac:dyDescent="0.35">
      <c r="A971" s="647">
        <v>7175</v>
      </c>
      <c r="B971" s="647" t="s">
        <v>8155</v>
      </c>
      <c r="C971" s="647" t="s">
        <v>8156</v>
      </c>
      <c r="D971" s="647" t="s">
        <v>3793</v>
      </c>
      <c r="E971" s="647" t="s">
        <v>3741</v>
      </c>
      <c r="F971" s="647" t="s">
        <v>8157</v>
      </c>
      <c r="G971" s="647" t="s">
        <v>8158</v>
      </c>
      <c r="H971" s="647" t="s">
        <v>3931</v>
      </c>
      <c r="I971" s="647" t="s">
        <v>5257</v>
      </c>
      <c r="J971" s="647">
        <v>3374112</v>
      </c>
      <c r="K971" s="647" t="s">
        <v>3912</v>
      </c>
      <c r="L971" s="647" t="s">
        <v>8159</v>
      </c>
      <c r="M971" s="647" t="s">
        <v>3826</v>
      </c>
      <c r="N971" s="648">
        <v>40210</v>
      </c>
    </row>
    <row r="972" spans="1:14" x14ac:dyDescent="0.35">
      <c r="A972" s="647">
        <v>7179</v>
      </c>
      <c r="B972" s="647" t="s">
        <v>8160</v>
      </c>
      <c r="C972" s="647" t="s">
        <v>8161</v>
      </c>
      <c r="D972" s="647" t="s">
        <v>3795</v>
      </c>
      <c r="E972" s="647" t="s">
        <v>3741</v>
      </c>
      <c r="F972" s="647">
        <v>22980</v>
      </c>
      <c r="G972" s="647" t="s">
        <v>8162</v>
      </c>
      <c r="H972" s="647" t="s">
        <v>3994</v>
      </c>
      <c r="I972" s="647" t="s">
        <v>5257</v>
      </c>
      <c r="J972" s="647">
        <v>5150665</v>
      </c>
      <c r="K972" s="647" t="s">
        <v>4488</v>
      </c>
      <c r="L972" s="647" t="s">
        <v>2796</v>
      </c>
      <c r="M972" s="647" t="s">
        <v>3826</v>
      </c>
      <c r="N972" s="648">
        <v>40359</v>
      </c>
    </row>
    <row r="973" spans="1:14" x14ac:dyDescent="0.35">
      <c r="A973" s="647">
        <v>7183</v>
      </c>
      <c r="B973" s="647" t="s">
        <v>8163</v>
      </c>
      <c r="C973" s="647" t="s">
        <v>8164</v>
      </c>
      <c r="D973" s="647" t="s">
        <v>3797</v>
      </c>
      <c r="E973" s="647" t="s">
        <v>3741</v>
      </c>
      <c r="F973" s="647">
        <v>53095</v>
      </c>
      <c r="G973" s="647" t="s">
        <v>8165</v>
      </c>
      <c r="H973" s="647" t="s">
        <v>3931</v>
      </c>
      <c r="I973" s="647" t="s">
        <v>5257</v>
      </c>
      <c r="J973" s="647">
        <v>4276387</v>
      </c>
      <c r="K973" s="647" t="s">
        <v>3830</v>
      </c>
      <c r="L973" s="647" t="s">
        <v>5206</v>
      </c>
      <c r="M973" s="647" t="s">
        <v>4078</v>
      </c>
      <c r="N973" s="648">
        <v>40330</v>
      </c>
    </row>
    <row r="974" spans="1:14" x14ac:dyDescent="0.35">
      <c r="A974" s="647">
        <v>7185</v>
      </c>
      <c r="B974" s="647" t="s">
        <v>8166</v>
      </c>
      <c r="C974" s="647" t="s">
        <v>8167</v>
      </c>
      <c r="D974" s="647" t="s">
        <v>3799</v>
      </c>
      <c r="E974" s="647" t="s">
        <v>3800</v>
      </c>
      <c r="F974" s="647">
        <v>82601</v>
      </c>
      <c r="G974" s="647" t="s">
        <v>8168</v>
      </c>
      <c r="H974" s="647" t="s">
        <v>3917</v>
      </c>
      <c r="I974" s="647" t="s">
        <v>4175</v>
      </c>
      <c r="J974" s="647">
        <v>731553</v>
      </c>
      <c r="K974" s="647" t="s">
        <v>3860</v>
      </c>
      <c r="L974" s="647" t="s">
        <v>8169</v>
      </c>
      <c r="M974" s="647" t="s">
        <v>3826</v>
      </c>
      <c r="N974" s="648" t="e">
        <v>#N/A</v>
      </c>
    </row>
    <row r="975" spans="1:14" x14ac:dyDescent="0.35">
      <c r="A975" s="647">
        <v>7187</v>
      </c>
      <c r="B975" s="647" t="s">
        <v>8170</v>
      </c>
      <c r="C975" s="647" t="s">
        <v>8171</v>
      </c>
      <c r="D975" s="647" t="s">
        <v>3065</v>
      </c>
      <c r="E975" s="647" t="s">
        <v>3800</v>
      </c>
      <c r="F975" s="647" t="s">
        <v>8172</v>
      </c>
      <c r="G975" s="647" t="s">
        <v>8173</v>
      </c>
      <c r="H975" s="647" t="s">
        <v>3917</v>
      </c>
      <c r="I975" s="647" t="s">
        <v>3995</v>
      </c>
      <c r="J975" s="647">
        <v>633906</v>
      </c>
      <c r="K975" s="647" t="s">
        <v>4044</v>
      </c>
      <c r="L975" s="647" t="s">
        <v>8174</v>
      </c>
      <c r="M975" s="647" t="s">
        <v>3826</v>
      </c>
      <c r="N975" s="648" t="e">
        <v>#N/A</v>
      </c>
    </row>
    <row r="976" spans="1:14" x14ac:dyDescent="0.35">
      <c r="A976" s="647">
        <v>7189</v>
      </c>
      <c r="B976" s="647" t="s">
        <v>8175</v>
      </c>
      <c r="C976" s="647" t="s">
        <v>8176</v>
      </c>
      <c r="D976" s="647" t="s">
        <v>3803</v>
      </c>
      <c r="E976" s="647" t="s">
        <v>3800</v>
      </c>
      <c r="F976" s="647">
        <v>82001</v>
      </c>
      <c r="G976" s="647" t="s">
        <v>8177</v>
      </c>
      <c r="H976" s="647" t="s">
        <v>3917</v>
      </c>
      <c r="I976" s="647" t="s">
        <v>5257</v>
      </c>
      <c r="J976" s="647">
        <v>2047517</v>
      </c>
      <c r="K976" s="647" t="s">
        <v>4176</v>
      </c>
      <c r="L976" s="647" t="s">
        <v>4177</v>
      </c>
      <c r="M976" s="647" t="s">
        <v>3826</v>
      </c>
      <c r="N976" s="648">
        <v>40360</v>
      </c>
    </row>
    <row r="977" spans="1:14" x14ac:dyDescent="0.35">
      <c r="A977" s="647">
        <v>7193</v>
      </c>
      <c r="B977" s="647" t="s">
        <v>8178</v>
      </c>
      <c r="C977" s="647" t="s">
        <v>8179</v>
      </c>
      <c r="D977" s="647" t="s">
        <v>3805</v>
      </c>
      <c r="E977" s="647" t="s">
        <v>3800</v>
      </c>
      <c r="F977" s="647">
        <v>48867</v>
      </c>
      <c r="G977" s="647" t="s">
        <v>8180</v>
      </c>
      <c r="H977" s="647" t="s">
        <v>3917</v>
      </c>
      <c r="I977" s="647" t="s">
        <v>5257</v>
      </c>
      <c r="J977" s="647">
        <v>2387032</v>
      </c>
      <c r="K977" s="647" t="s">
        <v>4106</v>
      </c>
      <c r="L977" s="647" t="s">
        <v>8181</v>
      </c>
      <c r="M977" s="647" t="s">
        <v>4078</v>
      </c>
      <c r="N977" s="648">
        <v>40238</v>
      </c>
    </row>
    <row r="978" spans="1:14" x14ac:dyDescent="0.35">
      <c r="A978" s="647">
        <v>8001</v>
      </c>
      <c r="B978" s="647" t="s">
        <v>8182</v>
      </c>
      <c r="C978" s="647" t="s">
        <v>8183</v>
      </c>
      <c r="D978" s="647" t="s">
        <v>3509</v>
      </c>
      <c r="E978" s="647" t="s">
        <v>3502</v>
      </c>
      <c r="F978" s="647">
        <v>2891</v>
      </c>
      <c r="G978" s="647" t="s">
        <v>8184</v>
      </c>
      <c r="H978" s="647" t="s">
        <v>4247</v>
      </c>
      <c r="I978" s="647" t="s">
        <v>3995</v>
      </c>
      <c r="J978" s="647"/>
      <c r="K978" s="647" t="s">
        <v>4259</v>
      </c>
      <c r="L978" s="647" t="s">
        <v>8185</v>
      </c>
      <c r="M978" s="647" t="s">
        <v>3826</v>
      </c>
      <c r="N978" s="648">
        <v>40360</v>
      </c>
    </row>
    <row r="979" spans="1:14" x14ac:dyDescent="0.35">
      <c r="A979" s="647">
        <v>8100</v>
      </c>
      <c r="B979" s="647" t="s">
        <v>8186</v>
      </c>
      <c r="C979" s="647" t="s">
        <v>8187</v>
      </c>
      <c r="D979" s="647" t="s">
        <v>3713</v>
      </c>
      <c r="E979" s="647" t="s">
        <v>3694</v>
      </c>
      <c r="F979" s="647">
        <v>0</v>
      </c>
      <c r="G979" s="649"/>
      <c r="H979" s="647" t="s">
        <v>3917</v>
      </c>
      <c r="I979" s="647" t="s">
        <v>5257</v>
      </c>
      <c r="J979" s="647"/>
      <c r="K979" s="647" t="s">
        <v>4394</v>
      </c>
      <c r="L979" s="647" t="s">
        <v>8188</v>
      </c>
      <c r="M979" s="649"/>
      <c r="N979" s="648">
        <v>40166</v>
      </c>
    </row>
    <row r="980" spans="1:14" x14ac:dyDescent="0.35">
      <c r="A980" s="647">
        <v>8888</v>
      </c>
      <c r="B980" s="647" t="s">
        <v>8189</v>
      </c>
      <c r="C980" s="647" t="s">
        <v>8190</v>
      </c>
      <c r="D980" s="647" t="s">
        <v>3555</v>
      </c>
      <c r="E980" s="647" t="s">
        <v>3551</v>
      </c>
      <c r="F980" s="647">
        <v>57106</v>
      </c>
      <c r="G980" s="647" t="s">
        <v>8191</v>
      </c>
      <c r="H980" s="647" t="s">
        <v>3994</v>
      </c>
      <c r="I980" s="647" t="s">
        <v>5257</v>
      </c>
      <c r="J980" s="647"/>
      <c r="K980" s="647" t="s">
        <v>7930</v>
      </c>
      <c r="L980" s="647" t="s">
        <v>8192</v>
      </c>
      <c r="M980" s="647" t="s">
        <v>3973</v>
      </c>
      <c r="N980" s="648">
        <v>40359</v>
      </c>
    </row>
    <row r="981" spans="1:14" x14ac:dyDescent="0.35">
      <c r="A981" s="647">
        <v>9572</v>
      </c>
      <c r="B981" s="647" t="s">
        <v>8193</v>
      </c>
      <c r="C981" s="647" t="s">
        <v>8194</v>
      </c>
      <c r="D981" s="647" t="s">
        <v>2639</v>
      </c>
      <c r="E981" s="647" t="s">
        <v>3648</v>
      </c>
      <c r="F981" s="647">
        <v>22310</v>
      </c>
      <c r="G981" s="647" t="s">
        <v>8195</v>
      </c>
      <c r="H981" s="647" t="s">
        <v>3822</v>
      </c>
      <c r="I981" s="647" t="s">
        <v>3823</v>
      </c>
      <c r="J981" s="647"/>
      <c r="K981" s="649"/>
      <c r="L981" s="649"/>
      <c r="M981" s="649"/>
      <c r="N981" s="648">
        <v>40391</v>
      </c>
    </row>
    <row r="982" spans="1:14" x14ac:dyDescent="0.35">
      <c r="A982" s="647">
        <v>232001</v>
      </c>
      <c r="B982" s="647" t="s">
        <v>8196</v>
      </c>
      <c r="C982" s="649"/>
      <c r="D982" s="649"/>
      <c r="E982" s="649"/>
      <c r="F982" s="649"/>
      <c r="G982" s="649"/>
      <c r="H982" s="647" t="s">
        <v>5315</v>
      </c>
      <c r="I982" s="647" t="s">
        <v>4175</v>
      </c>
      <c r="J982" s="647"/>
      <c r="K982" s="647" t="s">
        <v>4302</v>
      </c>
      <c r="L982" s="647" t="s">
        <v>8197</v>
      </c>
      <c r="M982" s="647" t="s">
        <v>3826</v>
      </c>
      <c r="N982" s="648" t="e">
        <v>#N/A</v>
      </c>
    </row>
    <row r="983" spans="1:14" x14ac:dyDescent="0.35">
      <c r="A983" s="647">
        <v>239001</v>
      </c>
      <c r="B983" s="647" t="s">
        <v>8198</v>
      </c>
      <c r="C983" s="649"/>
      <c r="D983" s="649"/>
      <c r="E983" s="649"/>
      <c r="F983" s="649"/>
      <c r="G983" s="649"/>
      <c r="H983" s="647" t="s">
        <v>5315</v>
      </c>
      <c r="I983" s="647" t="s">
        <v>4175</v>
      </c>
      <c r="J983" s="647"/>
      <c r="K983" s="649"/>
      <c r="L983" s="649"/>
      <c r="M983" s="649"/>
      <c r="N983" s="648">
        <v>40492</v>
      </c>
    </row>
    <row r="984" spans="1:14" x14ac:dyDescent="0.35">
      <c r="A984" s="647">
        <v>501001</v>
      </c>
      <c r="B984" s="647" t="s">
        <v>8199</v>
      </c>
      <c r="C984" s="647" t="s">
        <v>8200</v>
      </c>
      <c r="D984" s="647" t="s">
        <v>2033</v>
      </c>
      <c r="E984" s="647" t="s">
        <v>2029</v>
      </c>
      <c r="F984" s="647">
        <v>35213</v>
      </c>
      <c r="G984" s="647" t="s">
        <v>8201</v>
      </c>
      <c r="H984" s="649"/>
      <c r="I984" s="649"/>
      <c r="J984" s="649"/>
      <c r="K984" s="649"/>
      <c r="L984" s="649"/>
      <c r="M984" s="649"/>
      <c r="N984" s="648" t="e">
        <v>#N/A</v>
      </c>
    </row>
    <row r="985" spans="1:14" x14ac:dyDescent="0.35">
      <c r="A985" s="647">
        <v>502001</v>
      </c>
      <c r="B985" s="647" t="s">
        <v>8202</v>
      </c>
      <c r="C985" s="649"/>
      <c r="D985" s="649"/>
      <c r="E985" s="649"/>
      <c r="F985" s="647">
        <v>0</v>
      </c>
      <c r="G985" s="647" t="s">
        <v>8203</v>
      </c>
      <c r="H985" s="649"/>
      <c r="I985" s="649"/>
      <c r="J985" s="649"/>
      <c r="K985" s="647" t="s">
        <v>8204</v>
      </c>
      <c r="L985" s="647" t="s">
        <v>8205</v>
      </c>
      <c r="M985" s="647" t="s">
        <v>8206</v>
      </c>
      <c r="N985" s="648" t="e">
        <v>#N/A</v>
      </c>
    </row>
    <row r="986" spans="1:14" x14ac:dyDescent="0.35">
      <c r="A986" s="647">
        <v>502002</v>
      </c>
      <c r="B986" s="647" t="s">
        <v>8207</v>
      </c>
      <c r="C986" s="647" t="s">
        <v>8208</v>
      </c>
      <c r="D986" s="647" t="s">
        <v>8209</v>
      </c>
      <c r="E986" s="647" t="s">
        <v>2067</v>
      </c>
      <c r="F986" s="647">
        <v>85224</v>
      </c>
      <c r="G986" s="647" t="s">
        <v>8210</v>
      </c>
      <c r="H986" s="647" t="s">
        <v>3924</v>
      </c>
      <c r="I986" s="647" t="s">
        <v>4111</v>
      </c>
      <c r="J986" s="647"/>
      <c r="K986" s="647" t="s">
        <v>8211</v>
      </c>
      <c r="L986" s="647" t="s">
        <v>8212</v>
      </c>
      <c r="M986" s="647" t="s">
        <v>8206</v>
      </c>
      <c r="N986" s="648">
        <v>40360</v>
      </c>
    </row>
    <row r="987" spans="1:14" x14ac:dyDescent="0.35">
      <c r="A987" s="647">
        <v>502003</v>
      </c>
      <c r="B987" s="647" t="s">
        <v>8213</v>
      </c>
      <c r="C987" s="649"/>
      <c r="D987" s="649"/>
      <c r="E987" s="649"/>
      <c r="F987" s="647">
        <v>0</v>
      </c>
      <c r="G987" s="647" t="s">
        <v>8214</v>
      </c>
      <c r="H987" s="647" t="s">
        <v>3924</v>
      </c>
      <c r="I987" s="647" t="s">
        <v>4083</v>
      </c>
      <c r="J987" s="647"/>
      <c r="K987" s="647" t="s">
        <v>5301</v>
      </c>
      <c r="L987" s="647" t="s">
        <v>8215</v>
      </c>
      <c r="M987" s="647" t="s">
        <v>4078</v>
      </c>
      <c r="N987" s="648" t="e">
        <v>#N/A</v>
      </c>
    </row>
    <row r="988" spans="1:14" x14ac:dyDescent="0.35">
      <c r="A988" s="647">
        <v>504001</v>
      </c>
      <c r="B988" s="647" t="s">
        <v>8216</v>
      </c>
      <c r="C988" s="649"/>
      <c r="D988" s="649"/>
      <c r="E988" s="649"/>
      <c r="F988" s="647">
        <v>0</v>
      </c>
      <c r="G988" s="647" t="s">
        <v>8217</v>
      </c>
      <c r="H988" s="649"/>
      <c r="I988" s="649"/>
      <c r="J988" s="649"/>
      <c r="K988" s="647" t="s">
        <v>4088</v>
      </c>
      <c r="L988" s="647" t="s">
        <v>8218</v>
      </c>
      <c r="M988" s="647" t="s">
        <v>3836</v>
      </c>
      <c r="N988" s="648" t="e">
        <v>#N/A</v>
      </c>
    </row>
    <row r="989" spans="1:14" x14ac:dyDescent="0.35">
      <c r="A989" s="647">
        <v>504002</v>
      </c>
      <c r="B989" s="647" t="s">
        <v>8219</v>
      </c>
      <c r="C989" s="647" t="s">
        <v>8220</v>
      </c>
      <c r="D989" s="647" t="s">
        <v>8221</v>
      </c>
      <c r="E989" s="647" t="s">
        <v>2085</v>
      </c>
      <c r="F989" s="647">
        <v>94404</v>
      </c>
      <c r="G989" s="647" t="s">
        <v>8222</v>
      </c>
      <c r="H989" s="647" t="s">
        <v>3924</v>
      </c>
      <c r="I989" s="647" t="s">
        <v>4083</v>
      </c>
      <c r="J989" s="647"/>
      <c r="K989" s="647" t="s">
        <v>8223</v>
      </c>
      <c r="L989" s="647" t="s">
        <v>8224</v>
      </c>
      <c r="M989" s="647" t="s">
        <v>8225</v>
      </c>
      <c r="N989" s="648" t="e">
        <v>#N/A</v>
      </c>
    </row>
    <row r="990" spans="1:14" x14ac:dyDescent="0.35">
      <c r="A990" s="647">
        <v>504003</v>
      </c>
      <c r="B990" s="647" t="s">
        <v>8226</v>
      </c>
      <c r="C990" s="647" t="s">
        <v>8227</v>
      </c>
      <c r="D990" s="647" t="s">
        <v>8228</v>
      </c>
      <c r="E990" s="647" t="s">
        <v>2085</v>
      </c>
      <c r="F990" s="647">
        <v>92603</v>
      </c>
      <c r="G990" s="647" t="s">
        <v>8229</v>
      </c>
      <c r="H990" s="649"/>
      <c r="I990" s="649"/>
      <c r="J990" s="649"/>
      <c r="K990" s="647" t="s">
        <v>8230</v>
      </c>
      <c r="L990" s="647" t="s">
        <v>8231</v>
      </c>
      <c r="M990" s="649"/>
      <c r="N990" s="648" t="e">
        <v>#N/A</v>
      </c>
    </row>
    <row r="991" spans="1:14" x14ac:dyDescent="0.35">
      <c r="A991" s="647">
        <v>504004</v>
      </c>
      <c r="B991" s="647" t="s">
        <v>8232</v>
      </c>
      <c r="C991" s="647" t="s">
        <v>8233</v>
      </c>
      <c r="D991" s="647" t="s">
        <v>2101</v>
      </c>
      <c r="E991" s="647" t="s">
        <v>2085</v>
      </c>
      <c r="F991" s="647" t="s">
        <v>8234</v>
      </c>
      <c r="G991" s="647" t="s">
        <v>8235</v>
      </c>
      <c r="H991" s="649"/>
      <c r="I991" s="649"/>
      <c r="J991" s="649"/>
      <c r="K991" s="647" t="s">
        <v>4777</v>
      </c>
      <c r="L991" s="647" t="s">
        <v>8236</v>
      </c>
      <c r="M991" s="647" t="s">
        <v>3836</v>
      </c>
      <c r="N991" s="648" t="e">
        <v>#N/A</v>
      </c>
    </row>
    <row r="992" spans="1:14" x14ac:dyDescent="0.35">
      <c r="A992" s="647">
        <v>504005</v>
      </c>
      <c r="B992" s="647" t="s">
        <v>8237</v>
      </c>
      <c r="C992" s="647" t="s">
        <v>8238</v>
      </c>
      <c r="D992" s="647" t="s">
        <v>2103</v>
      </c>
      <c r="E992" s="647" t="s">
        <v>2085</v>
      </c>
      <c r="F992" s="647">
        <v>90036</v>
      </c>
      <c r="G992" s="647" t="s">
        <v>8239</v>
      </c>
      <c r="H992" s="649"/>
      <c r="I992" s="649"/>
      <c r="J992" s="649"/>
      <c r="K992" s="647" t="s">
        <v>4067</v>
      </c>
      <c r="L992" s="647" t="s">
        <v>8240</v>
      </c>
      <c r="M992" s="647" t="s">
        <v>4078</v>
      </c>
      <c r="N992" s="648" t="e">
        <v>#N/A</v>
      </c>
    </row>
    <row r="993" spans="1:14" x14ac:dyDescent="0.35">
      <c r="A993" s="647">
        <v>504006</v>
      </c>
      <c r="B993" s="647" t="s">
        <v>8241</v>
      </c>
      <c r="C993" s="647" t="s">
        <v>8238</v>
      </c>
      <c r="D993" s="647" t="s">
        <v>2103</v>
      </c>
      <c r="E993" s="647" t="s">
        <v>2085</v>
      </c>
      <c r="F993" s="647">
        <v>90036</v>
      </c>
      <c r="G993" s="647" t="s">
        <v>8242</v>
      </c>
      <c r="H993" s="649"/>
      <c r="I993" s="649"/>
      <c r="J993" s="649"/>
      <c r="K993" s="647" t="s">
        <v>4558</v>
      </c>
      <c r="L993" s="647" t="s">
        <v>8243</v>
      </c>
      <c r="M993" s="647" t="s">
        <v>4078</v>
      </c>
      <c r="N993" s="648" t="e">
        <v>#N/A</v>
      </c>
    </row>
    <row r="994" spans="1:14" x14ac:dyDescent="0.35">
      <c r="A994" s="647">
        <v>504007</v>
      </c>
      <c r="B994" s="647" t="s">
        <v>8244</v>
      </c>
      <c r="C994" s="647" t="s">
        <v>8245</v>
      </c>
      <c r="D994" s="647" t="s">
        <v>2135</v>
      </c>
      <c r="E994" s="647" t="s">
        <v>2085</v>
      </c>
      <c r="F994" s="647">
        <v>94118</v>
      </c>
      <c r="G994" s="647" t="s">
        <v>8246</v>
      </c>
      <c r="H994" s="649"/>
      <c r="I994" s="649"/>
      <c r="J994" s="649"/>
      <c r="K994" s="647" t="s">
        <v>4558</v>
      </c>
      <c r="L994" s="647" t="s">
        <v>8243</v>
      </c>
      <c r="M994" s="647" t="s">
        <v>4078</v>
      </c>
      <c r="N994" s="648" t="e">
        <v>#N/A</v>
      </c>
    </row>
    <row r="995" spans="1:14" x14ac:dyDescent="0.35">
      <c r="A995" s="647">
        <v>504008</v>
      </c>
      <c r="B995" s="647" t="s">
        <v>8247</v>
      </c>
      <c r="C995" s="647" t="s">
        <v>8248</v>
      </c>
      <c r="D995" s="647" t="s">
        <v>8249</v>
      </c>
      <c r="E995" s="647" t="s">
        <v>2085</v>
      </c>
      <c r="F995" s="647">
        <v>92270</v>
      </c>
      <c r="G995" s="647" t="s">
        <v>8250</v>
      </c>
      <c r="H995" s="649"/>
      <c r="I995" s="649"/>
      <c r="J995" s="649"/>
      <c r="K995" s="647" t="s">
        <v>8251</v>
      </c>
      <c r="L995" s="647" t="s">
        <v>8252</v>
      </c>
      <c r="M995" s="647" t="s">
        <v>4078</v>
      </c>
      <c r="N995" s="648" t="e">
        <v>#N/A</v>
      </c>
    </row>
    <row r="996" spans="1:14" x14ac:dyDescent="0.35">
      <c r="A996" s="647">
        <v>504009</v>
      </c>
      <c r="B996" s="647" t="s">
        <v>8253</v>
      </c>
      <c r="C996" s="647" t="s">
        <v>8254</v>
      </c>
      <c r="D996" s="647" t="s">
        <v>2115</v>
      </c>
      <c r="E996" s="647" t="s">
        <v>2085</v>
      </c>
      <c r="F996" s="647">
        <v>94303</v>
      </c>
      <c r="G996" s="647" t="s">
        <v>8255</v>
      </c>
      <c r="H996" s="649"/>
      <c r="I996" s="649"/>
      <c r="J996" s="649"/>
      <c r="K996" s="647" t="s">
        <v>4035</v>
      </c>
      <c r="L996" s="647" t="s">
        <v>8256</v>
      </c>
      <c r="M996" s="647" t="s">
        <v>4078</v>
      </c>
      <c r="N996" s="648" t="e">
        <v>#N/A</v>
      </c>
    </row>
    <row r="997" spans="1:14" x14ac:dyDescent="0.35">
      <c r="A997" s="647">
        <v>504010</v>
      </c>
      <c r="B997" s="647" t="s">
        <v>8257</v>
      </c>
      <c r="C997" s="647" t="s">
        <v>8258</v>
      </c>
      <c r="D997" s="647" t="s">
        <v>8259</v>
      </c>
      <c r="E997" s="647" t="s">
        <v>2085</v>
      </c>
      <c r="F997" s="647">
        <v>92037</v>
      </c>
      <c r="G997" s="647" t="s">
        <v>8260</v>
      </c>
      <c r="H997" s="647" t="s">
        <v>3924</v>
      </c>
      <c r="I997" s="647" t="s">
        <v>4083</v>
      </c>
      <c r="J997" s="647"/>
      <c r="K997" s="647" t="s">
        <v>4035</v>
      </c>
      <c r="L997" s="647" t="s">
        <v>8261</v>
      </c>
      <c r="M997" s="647" t="s">
        <v>3826</v>
      </c>
      <c r="N997" s="648" t="e">
        <v>#N/A</v>
      </c>
    </row>
    <row r="998" spans="1:14" x14ac:dyDescent="0.35">
      <c r="A998" s="647">
        <v>504011</v>
      </c>
      <c r="B998" s="647" t="s">
        <v>8262</v>
      </c>
      <c r="C998" s="647" t="s">
        <v>8263</v>
      </c>
      <c r="D998" s="647" t="s">
        <v>8264</v>
      </c>
      <c r="E998" s="647" t="s">
        <v>2085</v>
      </c>
      <c r="F998" s="647" t="s">
        <v>8265</v>
      </c>
      <c r="G998" s="647" t="s">
        <v>8266</v>
      </c>
      <c r="H998" s="649"/>
      <c r="I998" s="649"/>
      <c r="J998" s="649"/>
      <c r="K998" s="647" t="s">
        <v>4453</v>
      </c>
      <c r="L998" s="647" t="s">
        <v>8267</v>
      </c>
      <c r="M998" s="647" t="s">
        <v>4078</v>
      </c>
      <c r="N998" s="648" t="e">
        <v>#N/A</v>
      </c>
    </row>
    <row r="999" spans="1:14" x14ac:dyDescent="0.35">
      <c r="A999" s="647">
        <v>504013</v>
      </c>
      <c r="B999" s="647" t="s">
        <v>8268</v>
      </c>
      <c r="C999" s="647" t="s">
        <v>8269</v>
      </c>
      <c r="D999" s="647" t="s">
        <v>8270</v>
      </c>
      <c r="E999" s="647" t="s">
        <v>2085</v>
      </c>
      <c r="F999" s="647">
        <v>95032</v>
      </c>
      <c r="G999" s="647" t="s">
        <v>8271</v>
      </c>
      <c r="H999" s="649"/>
      <c r="I999" s="649"/>
      <c r="J999" s="649"/>
      <c r="K999" s="649"/>
      <c r="L999" s="649"/>
      <c r="M999" s="649"/>
      <c r="N999" s="648" t="e">
        <v>#N/A</v>
      </c>
    </row>
    <row r="1000" spans="1:14" x14ac:dyDescent="0.35">
      <c r="A1000" s="647">
        <v>504014</v>
      </c>
      <c r="B1000" s="647" t="s">
        <v>8272</v>
      </c>
      <c r="C1000" s="647" t="s">
        <v>8273</v>
      </c>
      <c r="D1000" s="647" t="s">
        <v>8274</v>
      </c>
      <c r="E1000" s="647" t="s">
        <v>2085</v>
      </c>
      <c r="F1000" s="647">
        <v>94903</v>
      </c>
      <c r="G1000" s="647" t="s">
        <v>8275</v>
      </c>
      <c r="H1000" s="649"/>
      <c r="I1000" s="649"/>
      <c r="J1000" s="649"/>
      <c r="K1000" s="647" t="s">
        <v>6112</v>
      </c>
      <c r="L1000" s="647" t="s">
        <v>8276</v>
      </c>
      <c r="M1000" s="647" t="s">
        <v>3826</v>
      </c>
      <c r="N1000" s="648" t="e">
        <v>#N/A</v>
      </c>
    </row>
    <row r="1001" spans="1:14" x14ac:dyDescent="0.35">
      <c r="A1001" s="647">
        <v>504015</v>
      </c>
      <c r="B1001" s="647" t="s">
        <v>8277</v>
      </c>
      <c r="C1001" s="647" t="s">
        <v>8278</v>
      </c>
      <c r="D1001" s="647" t="s">
        <v>2145</v>
      </c>
      <c r="E1001" s="647" t="s">
        <v>2085</v>
      </c>
      <c r="F1001" s="647" t="s">
        <v>8279</v>
      </c>
      <c r="G1001" s="647" t="s">
        <v>8280</v>
      </c>
      <c r="H1001" s="649"/>
      <c r="I1001" s="649"/>
      <c r="J1001" s="649"/>
      <c r="K1001" s="647" t="s">
        <v>4293</v>
      </c>
      <c r="L1001" s="647" t="s">
        <v>8281</v>
      </c>
      <c r="M1001" s="647" t="s">
        <v>4078</v>
      </c>
      <c r="N1001" s="648" t="e">
        <v>#N/A</v>
      </c>
    </row>
    <row r="1002" spans="1:14" x14ac:dyDescent="0.35">
      <c r="A1002" s="647">
        <v>504016</v>
      </c>
      <c r="B1002" s="647" t="s">
        <v>8282</v>
      </c>
      <c r="C1002" s="647" t="s">
        <v>8283</v>
      </c>
      <c r="D1002" s="647" t="s">
        <v>8284</v>
      </c>
      <c r="E1002" s="647" t="s">
        <v>2085</v>
      </c>
      <c r="F1002" s="647">
        <v>91411</v>
      </c>
      <c r="G1002" s="647" t="s">
        <v>8285</v>
      </c>
      <c r="H1002" s="649"/>
      <c r="I1002" s="649"/>
      <c r="J1002" s="649"/>
      <c r="K1002" s="647" t="s">
        <v>4453</v>
      </c>
      <c r="L1002" s="647" t="s">
        <v>8286</v>
      </c>
      <c r="M1002" s="647" t="s">
        <v>4078</v>
      </c>
      <c r="N1002" s="648" t="e">
        <v>#N/A</v>
      </c>
    </row>
    <row r="1003" spans="1:14" x14ac:dyDescent="0.35">
      <c r="A1003" s="647">
        <v>504017</v>
      </c>
      <c r="B1003" s="647" t="s">
        <v>8287</v>
      </c>
      <c r="C1003" s="647" t="s">
        <v>8288</v>
      </c>
      <c r="D1003" s="647" t="s">
        <v>8289</v>
      </c>
      <c r="E1003" s="647" t="s">
        <v>2085</v>
      </c>
      <c r="F1003" s="647">
        <v>94595</v>
      </c>
      <c r="G1003" s="647" t="s">
        <v>8290</v>
      </c>
      <c r="H1003" s="649"/>
      <c r="I1003" s="649"/>
      <c r="J1003" s="649"/>
      <c r="K1003" s="647" t="s">
        <v>8291</v>
      </c>
      <c r="L1003" s="647" t="s">
        <v>8292</v>
      </c>
      <c r="M1003" s="647" t="s">
        <v>4078</v>
      </c>
      <c r="N1003" s="648" t="e">
        <v>#N/A</v>
      </c>
    </row>
    <row r="1004" spans="1:14" x14ac:dyDescent="0.35">
      <c r="A1004" s="647">
        <v>504018</v>
      </c>
      <c r="B1004" s="647" t="s">
        <v>8293</v>
      </c>
      <c r="C1004" s="647" t="s">
        <v>8294</v>
      </c>
      <c r="D1004" s="647" t="s">
        <v>8295</v>
      </c>
      <c r="E1004" s="647" t="s">
        <v>2085</v>
      </c>
      <c r="F1004" s="647">
        <v>91307</v>
      </c>
      <c r="G1004" s="647" t="s">
        <v>8296</v>
      </c>
      <c r="H1004" s="649"/>
      <c r="I1004" s="649"/>
      <c r="J1004" s="649"/>
      <c r="K1004" s="647" t="s">
        <v>4429</v>
      </c>
      <c r="L1004" s="647" t="s">
        <v>8297</v>
      </c>
      <c r="M1004" s="647" t="s">
        <v>4078</v>
      </c>
      <c r="N1004" s="648" t="e">
        <v>#N/A</v>
      </c>
    </row>
    <row r="1005" spans="1:14" x14ac:dyDescent="0.35">
      <c r="A1005" s="647">
        <v>504019</v>
      </c>
      <c r="B1005" s="647" t="s">
        <v>8298</v>
      </c>
      <c r="C1005" s="647" t="s">
        <v>8299</v>
      </c>
      <c r="D1005" s="647" t="s">
        <v>2151</v>
      </c>
      <c r="E1005" s="647" t="s">
        <v>2085</v>
      </c>
      <c r="F1005" s="647">
        <v>95405</v>
      </c>
      <c r="G1005" s="647" t="s">
        <v>8300</v>
      </c>
      <c r="H1005" s="649"/>
      <c r="I1005" s="649"/>
      <c r="J1005" s="649"/>
      <c r="K1005" s="647" t="s">
        <v>8301</v>
      </c>
      <c r="L1005" s="647" t="s">
        <v>8302</v>
      </c>
      <c r="M1005" s="647" t="s">
        <v>8303</v>
      </c>
      <c r="N1005" s="648" t="e">
        <v>#N/A</v>
      </c>
    </row>
    <row r="1006" spans="1:14" x14ac:dyDescent="0.35">
      <c r="A1006" s="647">
        <v>504206</v>
      </c>
      <c r="B1006" s="647" t="s">
        <v>8304</v>
      </c>
      <c r="C1006" s="647" t="s">
        <v>8305</v>
      </c>
      <c r="D1006" s="647" t="s">
        <v>8306</v>
      </c>
      <c r="E1006" s="647" t="s">
        <v>2085</v>
      </c>
      <c r="F1006" s="647">
        <v>90265</v>
      </c>
      <c r="G1006" s="647" t="s">
        <v>8307</v>
      </c>
      <c r="H1006" s="649"/>
      <c r="I1006" s="649"/>
      <c r="J1006" s="649"/>
      <c r="K1006" s="647" t="s">
        <v>8308</v>
      </c>
      <c r="L1006" s="647" t="s">
        <v>8309</v>
      </c>
      <c r="M1006" s="647" t="s">
        <v>4078</v>
      </c>
      <c r="N1006" s="648" t="e">
        <v>#N/A</v>
      </c>
    </row>
    <row r="1007" spans="1:14" x14ac:dyDescent="0.35">
      <c r="A1007" s="647">
        <v>504212</v>
      </c>
      <c r="B1007" s="647" t="s">
        <v>8310</v>
      </c>
      <c r="C1007" s="647" t="s">
        <v>8311</v>
      </c>
      <c r="D1007" s="647" t="s">
        <v>2135</v>
      </c>
      <c r="E1007" s="647" t="s">
        <v>2085</v>
      </c>
      <c r="F1007" s="647">
        <v>94105</v>
      </c>
      <c r="G1007" s="647" t="s">
        <v>8312</v>
      </c>
      <c r="H1007" s="649"/>
      <c r="I1007" s="649"/>
      <c r="J1007" s="649"/>
      <c r="K1007" s="647" t="s">
        <v>4052</v>
      </c>
      <c r="L1007" s="647" t="s">
        <v>8313</v>
      </c>
      <c r="M1007" s="647" t="s">
        <v>4078</v>
      </c>
      <c r="N1007" s="648" t="e">
        <v>#N/A</v>
      </c>
    </row>
    <row r="1008" spans="1:14" x14ac:dyDescent="0.35">
      <c r="A1008" s="647">
        <v>505001</v>
      </c>
      <c r="B1008" s="647" t="s">
        <v>8314</v>
      </c>
      <c r="C1008" s="647" t="s">
        <v>8315</v>
      </c>
      <c r="D1008" s="647" t="s">
        <v>2163</v>
      </c>
      <c r="E1008" s="647" t="s">
        <v>2164</v>
      </c>
      <c r="F1008" s="647">
        <v>80301</v>
      </c>
      <c r="G1008" s="647" t="s">
        <v>8316</v>
      </c>
      <c r="H1008" s="649"/>
      <c r="I1008" s="649"/>
      <c r="J1008" s="649"/>
      <c r="K1008" s="647" t="s">
        <v>8317</v>
      </c>
      <c r="L1008" s="647" t="s">
        <v>8318</v>
      </c>
      <c r="M1008" s="647" t="s">
        <v>4078</v>
      </c>
      <c r="N1008" s="648" t="e">
        <v>#N/A</v>
      </c>
    </row>
    <row r="1009" spans="1:14" x14ac:dyDescent="0.35">
      <c r="A1009" s="647">
        <v>505002</v>
      </c>
      <c r="B1009" s="647" t="s">
        <v>8319</v>
      </c>
      <c r="C1009" s="647" t="s">
        <v>8320</v>
      </c>
      <c r="D1009" s="647" t="s">
        <v>2170</v>
      </c>
      <c r="E1009" s="647" t="s">
        <v>2164</v>
      </c>
      <c r="F1009" s="647">
        <v>80246</v>
      </c>
      <c r="G1009" s="647" t="s">
        <v>8321</v>
      </c>
      <c r="H1009" s="647" t="s">
        <v>3924</v>
      </c>
      <c r="I1009" s="647" t="s">
        <v>4175</v>
      </c>
      <c r="J1009" s="647"/>
      <c r="K1009" s="647" t="s">
        <v>4754</v>
      </c>
      <c r="L1009" s="647" t="s">
        <v>8322</v>
      </c>
      <c r="M1009" s="647" t="s">
        <v>4078</v>
      </c>
      <c r="N1009" s="648">
        <v>40452</v>
      </c>
    </row>
    <row r="1010" spans="1:14" x14ac:dyDescent="0.35">
      <c r="A1010" s="647">
        <v>506001</v>
      </c>
      <c r="B1010" s="647" t="s">
        <v>8323</v>
      </c>
      <c r="C1010" s="647" t="s">
        <v>8324</v>
      </c>
      <c r="D1010" s="647" t="s">
        <v>8325</v>
      </c>
      <c r="E1010" s="647" t="s">
        <v>2177</v>
      </c>
      <c r="F1010" s="647">
        <v>6117</v>
      </c>
      <c r="G1010" s="647" t="s">
        <v>8326</v>
      </c>
      <c r="H1010" s="647" t="s">
        <v>3924</v>
      </c>
      <c r="I1010" s="647" t="s">
        <v>4175</v>
      </c>
      <c r="J1010" s="647"/>
      <c r="K1010" s="647" t="s">
        <v>2265</v>
      </c>
      <c r="L1010" s="647" t="s">
        <v>7343</v>
      </c>
      <c r="M1010" s="647" t="s">
        <v>4078</v>
      </c>
      <c r="N1010" s="648">
        <v>40360</v>
      </c>
    </row>
    <row r="1011" spans="1:14" x14ac:dyDescent="0.35">
      <c r="A1011" s="647">
        <v>506002</v>
      </c>
      <c r="B1011" s="647" t="s">
        <v>8327</v>
      </c>
      <c r="C1011" s="647" t="s">
        <v>8328</v>
      </c>
      <c r="D1011" s="647" t="s">
        <v>8329</v>
      </c>
      <c r="E1011" s="647" t="s">
        <v>2177</v>
      </c>
      <c r="F1011" s="647">
        <v>6525</v>
      </c>
      <c r="G1011" s="647" t="s">
        <v>8330</v>
      </c>
      <c r="H1011" s="649"/>
      <c r="I1011" s="649"/>
      <c r="J1011" s="649"/>
      <c r="K1011" s="647" t="s">
        <v>4164</v>
      </c>
      <c r="L1011" s="647" t="s">
        <v>5362</v>
      </c>
      <c r="M1011" s="647" t="s">
        <v>4078</v>
      </c>
      <c r="N1011" s="648" t="e">
        <v>#N/A</v>
      </c>
    </row>
    <row r="1012" spans="1:14" x14ac:dyDescent="0.35">
      <c r="A1012" s="647">
        <v>506003</v>
      </c>
      <c r="B1012" s="647" t="s">
        <v>8331</v>
      </c>
      <c r="C1012" s="647" t="s">
        <v>8332</v>
      </c>
      <c r="D1012" s="647" t="s">
        <v>8333</v>
      </c>
      <c r="E1012" s="647" t="s">
        <v>2177</v>
      </c>
      <c r="F1012" s="647">
        <v>6488</v>
      </c>
      <c r="G1012" s="647" t="s">
        <v>8334</v>
      </c>
      <c r="H1012" s="649"/>
      <c r="I1012" s="649"/>
      <c r="J1012" s="649"/>
      <c r="K1012" s="647" t="s">
        <v>3855</v>
      </c>
      <c r="L1012" s="647" t="s">
        <v>8267</v>
      </c>
      <c r="M1012" s="647" t="s">
        <v>4078</v>
      </c>
      <c r="N1012" s="648" t="e">
        <v>#N/A</v>
      </c>
    </row>
    <row r="1013" spans="1:14" x14ac:dyDescent="0.35">
      <c r="A1013" s="647">
        <v>506004</v>
      </c>
      <c r="B1013" s="647" t="s">
        <v>8335</v>
      </c>
      <c r="C1013" s="647" t="s">
        <v>8336</v>
      </c>
      <c r="D1013" s="647" t="s">
        <v>2212</v>
      </c>
      <c r="E1013" s="647" t="s">
        <v>2177</v>
      </c>
      <c r="F1013" s="647">
        <v>6905</v>
      </c>
      <c r="G1013" s="647" t="s">
        <v>8337</v>
      </c>
      <c r="H1013" s="649"/>
      <c r="I1013" s="649"/>
      <c r="J1013" s="649"/>
      <c r="K1013" s="647" t="s">
        <v>3830</v>
      </c>
      <c r="L1013" s="647" t="s">
        <v>8338</v>
      </c>
      <c r="M1013" s="647" t="s">
        <v>8339</v>
      </c>
      <c r="N1013" s="648" t="e">
        <v>#N/A</v>
      </c>
    </row>
    <row r="1014" spans="1:14" x14ac:dyDescent="0.35">
      <c r="A1014" s="647">
        <v>506005</v>
      </c>
      <c r="B1014" s="647" t="s">
        <v>8340</v>
      </c>
      <c r="C1014" s="647" t="s">
        <v>8341</v>
      </c>
      <c r="D1014" s="647" t="s">
        <v>8342</v>
      </c>
      <c r="E1014" s="647" t="s">
        <v>2177</v>
      </c>
      <c r="F1014" s="647">
        <v>6601</v>
      </c>
      <c r="G1014" s="649"/>
      <c r="H1014" s="647" t="s">
        <v>3924</v>
      </c>
      <c r="I1014" s="647" t="s">
        <v>4083</v>
      </c>
      <c r="J1014" s="647"/>
      <c r="K1014" s="647" t="s">
        <v>4628</v>
      </c>
      <c r="L1014" s="647" t="s">
        <v>8343</v>
      </c>
      <c r="M1014" s="647" t="s">
        <v>3826</v>
      </c>
      <c r="N1014" s="648" t="e">
        <v>#N/A</v>
      </c>
    </row>
    <row r="1015" spans="1:14" x14ac:dyDescent="0.35">
      <c r="A1015" s="647">
        <v>506206</v>
      </c>
      <c r="B1015" s="647" t="s">
        <v>8344</v>
      </c>
      <c r="C1015" s="647" t="s">
        <v>8345</v>
      </c>
      <c r="D1015" s="647" t="s">
        <v>2999</v>
      </c>
      <c r="E1015" s="647" t="s">
        <v>2177</v>
      </c>
      <c r="F1015" s="647">
        <v>6443</v>
      </c>
      <c r="G1015" s="647" t="s">
        <v>8346</v>
      </c>
      <c r="H1015" s="649"/>
      <c r="I1015" s="649"/>
      <c r="J1015" s="649"/>
      <c r="K1015" s="647" t="s">
        <v>8347</v>
      </c>
      <c r="L1015" s="647" t="s">
        <v>8348</v>
      </c>
      <c r="M1015" s="649"/>
      <c r="N1015" s="648" t="e">
        <v>#N/A</v>
      </c>
    </row>
    <row r="1016" spans="1:14" x14ac:dyDescent="0.35">
      <c r="A1016" s="647">
        <v>507001</v>
      </c>
      <c r="B1016" s="647" t="s">
        <v>8349</v>
      </c>
      <c r="C1016" s="647" t="s">
        <v>8350</v>
      </c>
      <c r="D1016" s="647" t="s">
        <v>2224</v>
      </c>
      <c r="E1016" s="647" t="s">
        <v>2225</v>
      </c>
      <c r="F1016" s="647">
        <v>19803</v>
      </c>
      <c r="G1016" s="647" t="s">
        <v>8351</v>
      </c>
      <c r="H1016" s="649"/>
      <c r="I1016" s="649"/>
      <c r="J1016" s="649"/>
      <c r="K1016" s="647" t="s">
        <v>8352</v>
      </c>
      <c r="L1016" s="647" t="s">
        <v>8353</v>
      </c>
      <c r="M1016" s="647" t="s">
        <v>4025</v>
      </c>
      <c r="N1016" s="648" t="e">
        <v>#N/A</v>
      </c>
    </row>
    <row r="1017" spans="1:14" x14ac:dyDescent="0.35">
      <c r="A1017" s="647">
        <v>508001</v>
      </c>
      <c r="B1017" s="647" t="s">
        <v>8354</v>
      </c>
      <c r="C1017" s="647" t="s">
        <v>8355</v>
      </c>
      <c r="D1017" s="647" t="s">
        <v>2227</v>
      </c>
      <c r="E1017" s="647" t="s">
        <v>2228</v>
      </c>
      <c r="F1017" s="647">
        <v>20036</v>
      </c>
      <c r="G1017" s="647" t="s">
        <v>8356</v>
      </c>
      <c r="H1017" s="649"/>
      <c r="I1017" s="649"/>
      <c r="J1017" s="649"/>
      <c r="K1017" s="647" t="s">
        <v>8357</v>
      </c>
      <c r="L1017" s="647" t="s">
        <v>8358</v>
      </c>
      <c r="M1017" s="647" t="s">
        <v>4078</v>
      </c>
      <c r="N1017" s="648" t="e">
        <v>#N/A</v>
      </c>
    </row>
    <row r="1018" spans="1:14" x14ac:dyDescent="0.35">
      <c r="A1018" s="647">
        <v>509001</v>
      </c>
      <c r="B1018" s="647" t="s">
        <v>8359</v>
      </c>
      <c r="C1018" s="647" t="s">
        <v>8360</v>
      </c>
      <c r="D1018" s="647" t="s">
        <v>2230</v>
      </c>
      <c r="E1018" s="647" t="s">
        <v>2231</v>
      </c>
      <c r="F1018" s="647">
        <v>33428</v>
      </c>
      <c r="G1018" s="647" t="s">
        <v>8361</v>
      </c>
      <c r="H1018" s="649"/>
      <c r="I1018" s="649"/>
      <c r="J1018" s="649"/>
      <c r="K1018" s="647" t="s">
        <v>8362</v>
      </c>
      <c r="L1018" s="647" t="s">
        <v>8363</v>
      </c>
      <c r="M1018" s="647" t="s">
        <v>4078</v>
      </c>
      <c r="N1018" s="648" t="e">
        <v>#N/A</v>
      </c>
    </row>
    <row r="1019" spans="1:14" x14ac:dyDescent="0.35">
      <c r="A1019" s="647">
        <v>509002</v>
      </c>
      <c r="B1019" s="647" t="s">
        <v>8364</v>
      </c>
      <c r="C1019" s="647" t="s">
        <v>8365</v>
      </c>
      <c r="D1019" s="647" t="s">
        <v>8366</v>
      </c>
      <c r="E1019" s="647" t="s">
        <v>2231</v>
      </c>
      <c r="F1019" s="647">
        <v>33484</v>
      </c>
      <c r="G1019" s="647" t="s">
        <v>8367</v>
      </c>
      <c r="H1019" s="649"/>
      <c r="I1019" s="649"/>
      <c r="J1019" s="649"/>
      <c r="K1019" s="647" t="s">
        <v>4024</v>
      </c>
      <c r="L1019" s="647" t="s">
        <v>8368</v>
      </c>
      <c r="M1019" s="647" t="s">
        <v>4078</v>
      </c>
      <c r="N1019" s="648" t="e">
        <v>#N/A</v>
      </c>
    </row>
    <row r="1020" spans="1:14" x14ac:dyDescent="0.35">
      <c r="A1020" s="647">
        <v>509004</v>
      </c>
      <c r="B1020" s="647" t="s">
        <v>8369</v>
      </c>
      <c r="C1020" s="647" t="s">
        <v>8370</v>
      </c>
      <c r="D1020" s="647" t="s">
        <v>8371</v>
      </c>
      <c r="E1020" s="647" t="s">
        <v>2231</v>
      </c>
      <c r="F1020" s="647">
        <v>33071</v>
      </c>
      <c r="G1020" s="647" t="s">
        <v>8372</v>
      </c>
      <c r="H1020" s="649"/>
      <c r="I1020" s="649"/>
      <c r="J1020" s="649"/>
      <c r="K1020" s="649"/>
      <c r="L1020" s="649"/>
      <c r="M1020" s="649"/>
      <c r="N1020" s="648" t="e">
        <v>#N/A</v>
      </c>
    </row>
    <row r="1021" spans="1:14" x14ac:dyDescent="0.35">
      <c r="A1021" s="647">
        <v>509005</v>
      </c>
      <c r="B1021" s="649"/>
      <c r="C1021" s="647" t="s">
        <v>8373</v>
      </c>
      <c r="D1021" s="647" t="s">
        <v>8374</v>
      </c>
      <c r="E1021" s="647" t="s">
        <v>2231</v>
      </c>
      <c r="F1021" s="647">
        <v>33313</v>
      </c>
      <c r="G1021" s="647" t="s">
        <v>8375</v>
      </c>
      <c r="H1021" s="649"/>
      <c r="I1021" s="649"/>
      <c r="J1021" s="649"/>
      <c r="K1021" s="647" t="s">
        <v>8376</v>
      </c>
      <c r="L1021" s="647" t="s">
        <v>8377</v>
      </c>
      <c r="M1021" s="647" t="s">
        <v>4025</v>
      </c>
      <c r="N1021" s="648" t="e">
        <v>#N/A</v>
      </c>
    </row>
    <row r="1022" spans="1:14" x14ac:dyDescent="0.35">
      <c r="A1022" s="647">
        <v>509006</v>
      </c>
      <c r="B1022" s="647" t="s">
        <v>8378</v>
      </c>
      <c r="C1022" s="647" t="s">
        <v>8379</v>
      </c>
      <c r="D1022" s="647" t="s">
        <v>8380</v>
      </c>
      <c r="E1022" s="647" t="s">
        <v>2231</v>
      </c>
      <c r="F1022" s="647">
        <v>33328</v>
      </c>
      <c r="G1022" s="647" t="s">
        <v>8381</v>
      </c>
      <c r="H1022" s="647" t="s">
        <v>3924</v>
      </c>
      <c r="I1022" s="647" t="s">
        <v>4175</v>
      </c>
      <c r="J1022" s="647"/>
      <c r="K1022" s="647" t="s">
        <v>6374</v>
      </c>
      <c r="L1022" s="647" t="s">
        <v>8382</v>
      </c>
      <c r="M1022" s="649"/>
      <c r="N1022" s="648">
        <v>40360</v>
      </c>
    </row>
    <row r="1023" spans="1:14" x14ac:dyDescent="0.35">
      <c r="A1023" s="647">
        <v>509007</v>
      </c>
      <c r="B1023" s="647" t="s">
        <v>8383</v>
      </c>
      <c r="C1023" s="647" t="s">
        <v>8384</v>
      </c>
      <c r="D1023" s="647" t="s">
        <v>2243</v>
      </c>
      <c r="E1023" s="647" t="s">
        <v>2231</v>
      </c>
      <c r="F1023" s="647">
        <v>32217</v>
      </c>
      <c r="G1023" s="647" t="s">
        <v>8385</v>
      </c>
      <c r="H1023" s="647" t="s">
        <v>3924</v>
      </c>
      <c r="I1023" s="647" t="s">
        <v>4175</v>
      </c>
      <c r="J1023" s="647"/>
      <c r="K1023" s="647" t="s">
        <v>3855</v>
      </c>
      <c r="L1023" s="647" t="s">
        <v>8386</v>
      </c>
      <c r="M1023" s="647" t="s">
        <v>4078</v>
      </c>
      <c r="N1023" s="648">
        <v>40360</v>
      </c>
    </row>
    <row r="1024" spans="1:14" x14ac:dyDescent="0.35">
      <c r="A1024" s="647">
        <v>509008</v>
      </c>
      <c r="B1024" s="647" t="s">
        <v>8387</v>
      </c>
      <c r="C1024" s="647" t="s">
        <v>8388</v>
      </c>
      <c r="D1024" s="647" t="s">
        <v>8389</v>
      </c>
      <c r="E1024" s="647" t="s">
        <v>2231</v>
      </c>
      <c r="F1024" s="647">
        <v>33180</v>
      </c>
      <c r="G1024" s="647" t="s">
        <v>8390</v>
      </c>
      <c r="H1024" s="649"/>
      <c r="I1024" s="649"/>
      <c r="J1024" s="649"/>
      <c r="K1024" s="647" t="s">
        <v>8391</v>
      </c>
      <c r="L1024" s="647" t="s">
        <v>8392</v>
      </c>
      <c r="M1024" s="647" t="s">
        <v>4078</v>
      </c>
      <c r="N1024" s="648" t="e">
        <v>#N/A</v>
      </c>
    </row>
    <row r="1025" spans="1:14" x14ac:dyDescent="0.35">
      <c r="A1025" s="647">
        <v>509009</v>
      </c>
      <c r="B1025" s="647" t="s">
        <v>8393</v>
      </c>
      <c r="C1025" s="647" t="s">
        <v>8394</v>
      </c>
      <c r="D1025" s="647" t="s">
        <v>2251</v>
      </c>
      <c r="E1025" s="647" t="s">
        <v>2231</v>
      </c>
      <c r="F1025" s="647">
        <v>33176</v>
      </c>
      <c r="G1025" s="647" t="s">
        <v>8395</v>
      </c>
      <c r="H1025" s="649"/>
      <c r="I1025" s="649"/>
      <c r="J1025" s="649"/>
      <c r="K1025" s="647" t="s">
        <v>4628</v>
      </c>
      <c r="L1025" s="647" t="s">
        <v>8396</v>
      </c>
      <c r="M1025" s="647" t="s">
        <v>4078</v>
      </c>
      <c r="N1025" s="648" t="e">
        <v>#N/A</v>
      </c>
    </row>
    <row r="1026" spans="1:14" x14ac:dyDescent="0.35">
      <c r="A1026" s="647">
        <v>509010</v>
      </c>
      <c r="B1026" s="647" t="s">
        <v>8397</v>
      </c>
      <c r="C1026" s="647" t="s">
        <v>8398</v>
      </c>
      <c r="D1026" s="647" t="s">
        <v>8399</v>
      </c>
      <c r="E1026" s="647" t="s">
        <v>2231</v>
      </c>
      <c r="F1026" s="647">
        <v>33140</v>
      </c>
      <c r="G1026" s="647" t="s">
        <v>8400</v>
      </c>
      <c r="H1026" s="649"/>
      <c r="I1026" s="649"/>
      <c r="J1026" s="649"/>
      <c r="K1026" s="647" t="s">
        <v>4508</v>
      </c>
      <c r="L1026" s="647" t="s">
        <v>4040</v>
      </c>
      <c r="M1026" s="647" t="s">
        <v>4078</v>
      </c>
      <c r="N1026" s="648" t="e">
        <v>#N/A</v>
      </c>
    </row>
    <row r="1027" spans="1:14" x14ac:dyDescent="0.35">
      <c r="A1027" s="647">
        <v>509012</v>
      </c>
      <c r="B1027" s="647" t="s">
        <v>8401</v>
      </c>
      <c r="C1027" s="647" t="s">
        <v>8402</v>
      </c>
      <c r="D1027" s="647" t="s">
        <v>8403</v>
      </c>
      <c r="E1027" s="647" t="s">
        <v>2231</v>
      </c>
      <c r="F1027" s="647">
        <v>32751</v>
      </c>
      <c r="G1027" s="647" t="s">
        <v>8404</v>
      </c>
      <c r="H1027" s="647" t="s">
        <v>3924</v>
      </c>
      <c r="I1027" s="647" t="s">
        <v>4083</v>
      </c>
      <c r="J1027" s="647"/>
      <c r="K1027" s="647" t="s">
        <v>8405</v>
      </c>
      <c r="L1027" s="647" t="s">
        <v>8406</v>
      </c>
      <c r="M1027" s="647" t="s">
        <v>4078</v>
      </c>
      <c r="N1027" s="648" t="e">
        <v>#N/A</v>
      </c>
    </row>
    <row r="1028" spans="1:14" x14ac:dyDescent="0.35">
      <c r="A1028" s="647">
        <v>509013</v>
      </c>
      <c r="B1028" s="647" t="s">
        <v>8407</v>
      </c>
      <c r="C1028" s="647" t="s">
        <v>8408</v>
      </c>
      <c r="D1028" s="647" t="s">
        <v>8409</v>
      </c>
      <c r="E1028" s="647" t="s">
        <v>2231</v>
      </c>
      <c r="F1028" s="647">
        <v>32836</v>
      </c>
      <c r="G1028" s="647" t="s">
        <v>8410</v>
      </c>
      <c r="H1028" s="649"/>
      <c r="I1028" s="649"/>
      <c r="J1028" s="649"/>
      <c r="K1028" s="647" t="s">
        <v>4164</v>
      </c>
      <c r="L1028" s="647" t="s">
        <v>5546</v>
      </c>
      <c r="M1028" s="647" t="s">
        <v>4078</v>
      </c>
      <c r="N1028" s="648" t="e">
        <v>#N/A</v>
      </c>
    </row>
    <row r="1029" spans="1:14" x14ac:dyDescent="0.35">
      <c r="A1029" s="647">
        <v>509015</v>
      </c>
      <c r="B1029" s="647" t="s">
        <v>8411</v>
      </c>
      <c r="C1029" s="647" t="s">
        <v>8412</v>
      </c>
      <c r="D1029" s="647" t="s">
        <v>2277</v>
      </c>
      <c r="E1029" s="647" t="s">
        <v>2231</v>
      </c>
      <c r="F1029" s="647">
        <v>33625</v>
      </c>
      <c r="G1029" s="647" t="s">
        <v>8413</v>
      </c>
      <c r="H1029" s="649"/>
      <c r="I1029" s="649"/>
      <c r="J1029" s="649"/>
      <c r="K1029" s="647" t="s">
        <v>6012</v>
      </c>
      <c r="L1029" s="647" t="s">
        <v>8414</v>
      </c>
      <c r="M1029" s="647" t="s">
        <v>8415</v>
      </c>
      <c r="N1029" s="648" t="e">
        <v>#N/A</v>
      </c>
    </row>
    <row r="1030" spans="1:14" x14ac:dyDescent="0.35">
      <c r="A1030" s="647">
        <v>509016</v>
      </c>
      <c r="B1030" s="647" t="s">
        <v>8416</v>
      </c>
      <c r="C1030" s="647" t="s">
        <v>8417</v>
      </c>
      <c r="D1030" s="647" t="s">
        <v>2259</v>
      </c>
      <c r="E1030" s="647" t="s">
        <v>2231</v>
      </c>
      <c r="F1030" s="647">
        <v>33409</v>
      </c>
      <c r="G1030" s="647" t="s">
        <v>8418</v>
      </c>
      <c r="H1030" s="647" t="s">
        <v>3924</v>
      </c>
      <c r="I1030" s="647" t="s">
        <v>4175</v>
      </c>
      <c r="J1030" s="647"/>
      <c r="K1030" s="647" t="s">
        <v>5038</v>
      </c>
      <c r="L1030" s="647" t="s">
        <v>8419</v>
      </c>
      <c r="M1030" s="647" t="s">
        <v>8420</v>
      </c>
      <c r="N1030" s="648">
        <v>40422</v>
      </c>
    </row>
    <row r="1031" spans="1:14" x14ac:dyDescent="0.35">
      <c r="A1031" s="647">
        <v>509017</v>
      </c>
      <c r="B1031" s="647" t="s">
        <v>8421</v>
      </c>
      <c r="C1031" s="647" t="s">
        <v>8422</v>
      </c>
      <c r="D1031" s="647" t="s">
        <v>8423</v>
      </c>
      <c r="E1031" s="647" t="s">
        <v>2231</v>
      </c>
      <c r="F1031" s="647">
        <v>33437</v>
      </c>
      <c r="G1031" s="647" t="s">
        <v>8424</v>
      </c>
      <c r="H1031" s="649"/>
      <c r="I1031" s="649"/>
      <c r="J1031" s="649"/>
      <c r="K1031" s="647" t="s">
        <v>7716</v>
      </c>
      <c r="L1031" s="647" t="s">
        <v>8425</v>
      </c>
      <c r="M1031" s="647" t="s">
        <v>4078</v>
      </c>
      <c r="N1031" s="648" t="e">
        <v>#N/A</v>
      </c>
    </row>
    <row r="1032" spans="1:14" x14ac:dyDescent="0.35">
      <c r="A1032" s="647">
        <v>509018</v>
      </c>
      <c r="B1032" s="647" t="s">
        <v>8426</v>
      </c>
      <c r="C1032" s="647" t="s">
        <v>8417</v>
      </c>
      <c r="D1032" s="647" t="s">
        <v>2259</v>
      </c>
      <c r="E1032" s="647" t="s">
        <v>2231</v>
      </c>
      <c r="F1032" s="647">
        <v>33409</v>
      </c>
      <c r="G1032" s="647" t="s">
        <v>8418</v>
      </c>
      <c r="H1032" s="649"/>
      <c r="I1032" s="649"/>
      <c r="J1032" s="649"/>
      <c r="K1032" s="647" t="s">
        <v>7428</v>
      </c>
      <c r="L1032" s="647" t="s">
        <v>8427</v>
      </c>
      <c r="M1032" s="647" t="s">
        <v>8428</v>
      </c>
      <c r="N1032" s="648" t="e">
        <v>#N/A</v>
      </c>
    </row>
    <row r="1033" spans="1:14" x14ac:dyDescent="0.35">
      <c r="A1033" s="647">
        <v>509102</v>
      </c>
      <c r="B1033" s="647" t="s">
        <v>8429</v>
      </c>
      <c r="C1033" s="647" t="s">
        <v>8430</v>
      </c>
      <c r="D1033" s="647" t="s">
        <v>8380</v>
      </c>
      <c r="E1033" s="647" t="s">
        <v>2231</v>
      </c>
      <c r="F1033" s="647">
        <v>33328</v>
      </c>
      <c r="G1033" s="647" t="s">
        <v>8431</v>
      </c>
      <c r="H1033" s="647" t="s">
        <v>3924</v>
      </c>
      <c r="I1033" s="647" t="s">
        <v>4175</v>
      </c>
      <c r="J1033" s="647"/>
      <c r="K1033" s="649"/>
      <c r="L1033" s="649"/>
      <c r="M1033" s="649"/>
      <c r="N1033" s="648">
        <v>40359</v>
      </c>
    </row>
    <row r="1034" spans="1:14" x14ac:dyDescent="0.35">
      <c r="A1034" s="647">
        <v>509105</v>
      </c>
      <c r="B1034" s="647" t="s">
        <v>8432</v>
      </c>
      <c r="C1034" s="647" t="s">
        <v>8433</v>
      </c>
      <c r="D1034" s="647" t="s">
        <v>2237</v>
      </c>
      <c r="E1034" s="647" t="s">
        <v>2231</v>
      </c>
      <c r="F1034" s="647">
        <v>33919</v>
      </c>
      <c r="G1034" s="647" t="s">
        <v>8434</v>
      </c>
      <c r="H1034" s="649"/>
      <c r="I1034" s="649"/>
      <c r="J1034" s="649"/>
      <c r="K1034" s="647" t="s">
        <v>3865</v>
      </c>
      <c r="L1034" s="647" t="s">
        <v>8435</v>
      </c>
      <c r="M1034" s="647" t="s">
        <v>3826</v>
      </c>
      <c r="N1034" s="648" t="e">
        <v>#N/A</v>
      </c>
    </row>
    <row r="1035" spans="1:14" x14ac:dyDescent="0.35">
      <c r="A1035" s="647">
        <v>509107</v>
      </c>
      <c r="B1035" s="647" t="s">
        <v>8436</v>
      </c>
      <c r="C1035" s="647" t="s">
        <v>8437</v>
      </c>
      <c r="D1035" s="647" t="s">
        <v>8403</v>
      </c>
      <c r="E1035" s="647" t="s">
        <v>2231</v>
      </c>
      <c r="F1035" s="647">
        <v>32751</v>
      </c>
      <c r="G1035" s="649"/>
      <c r="H1035" s="647" t="s">
        <v>3924</v>
      </c>
      <c r="I1035" s="647" t="s">
        <v>4175</v>
      </c>
      <c r="J1035" s="647"/>
      <c r="K1035" s="647" t="s">
        <v>4035</v>
      </c>
      <c r="L1035" s="647" t="s">
        <v>8438</v>
      </c>
      <c r="M1035" s="647" t="s">
        <v>4078</v>
      </c>
      <c r="N1035" s="648">
        <v>40210</v>
      </c>
    </row>
    <row r="1036" spans="1:14" x14ac:dyDescent="0.35">
      <c r="A1036" s="647">
        <v>509108</v>
      </c>
      <c r="B1036" s="647" t="s">
        <v>8439</v>
      </c>
      <c r="C1036" s="647" t="s">
        <v>8440</v>
      </c>
      <c r="D1036" s="647" t="s">
        <v>2259</v>
      </c>
      <c r="E1036" s="647" t="s">
        <v>2231</v>
      </c>
      <c r="F1036" s="647">
        <v>33417</v>
      </c>
      <c r="G1036" s="647" t="s">
        <v>8441</v>
      </c>
      <c r="H1036" s="647" t="s">
        <v>3924</v>
      </c>
      <c r="I1036" s="647" t="s">
        <v>4175</v>
      </c>
      <c r="J1036" s="647"/>
      <c r="K1036" s="647" t="s">
        <v>4164</v>
      </c>
      <c r="L1036" s="647" t="s">
        <v>5546</v>
      </c>
      <c r="M1036" s="647" t="s">
        <v>4078</v>
      </c>
      <c r="N1036" s="648">
        <v>40422</v>
      </c>
    </row>
    <row r="1037" spans="1:14" x14ac:dyDescent="0.35">
      <c r="A1037" s="647">
        <v>509110</v>
      </c>
      <c r="B1037" s="647" t="s">
        <v>8442</v>
      </c>
      <c r="C1037" s="647" t="s">
        <v>8443</v>
      </c>
      <c r="D1037" s="647" t="s">
        <v>2269</v>
      </c>
      <c r="E1037" s="647" t="s">
        <v>2231</v>
      </c>
      <c r="F1037" s="647">
        <v>34232</v>
      </c>
      <c r="G1037" s="647" t="s">
        <v>8444</v>
      </c>
      <c r="H1037" s="649"/>
      <c r="I1037" s="649"/>
      <c r="J1037" s="649"/>
      <c r="K1037" s="647" t="s">
        <v>4453</v>
      </c>
      <c r="L1037" s="647" t="s">
        <v>8445</v>
      </c>
      <c r="M1037" s="649"/>
      <c r="N1037" s="648" t="e">
        <v>#N/A</v>
      </c>
    </row>
    <row r="1038" spans="1:14" x14ac:dyDescent="0.35">
      <c r="A1038" s="647">
        <v>509201</v>
      </c>
      <c r="B1038" s="647" t="s">
        <v>8446</v>
      </c>
      <c r="C1038" s="647" t="s">
        <v>8447</v>
      </c>
      <c r="D1038" s="647" t="s">
        <v>2259</v>
      </c>
      <c r="E1038" s="647" t="s">
        <v>2231</v>
      </c>
      <c r="F1038" s="647">
        <v>33409</v>
      </c>
      <c r="G1038" s="647" t="s">
        <v>8448</v>
      </c>
      <c r="H1038" s="647" t="s">
        <v>3924</v>
      </c>
      <c r="I1038" s="647" t="s">
        <v>4175</v>
      </c>
      <c r="J1038" s="647"/>
      <c r="K1038" s="647" t="s">
        <v>4802</v>
      </c>
      <c r="L1038" s="647" t="s">
        <v>8449</v>
      </c>
      <c r="M1038" s="647" t="s">
        <v>4078</v>
      </c>
      <c r="N1038" s="648">
        <v>40422</v>
      </c>
    </row>
    <row r="1039" spans="1:14" x14ac:dyDescent="0.35">
      <c r="A1039" s="647">
        <v>509202</v>
      </c>
      <c r="B1039" s="647" t="s">
        <v>8450</v>
      </c>
      <c r="C1039" s="647" t="s">
        <v>8451</v>
      </c>
      <c r="D1039" s="647" t="s">
        <v>2259</v>
      </c>
      <c r="E1039" s="647" t="s">
        <v>2231</v>
      </c>
      <c r="F1039" s="647">
        <v>33422</v>
      </c>
      <c r="G1039" s="647" t="s">
        <v>8452</v>
      </c>
      <c r="H1039" s="647" t="s">
        <v>3924</v>
      </c>
      <c r="I1039" s="647" t="s">
        <v>4175</v>
      </c>
      <c r="J1039" s="647"/>
      <c r="K1039" s="647" t="s">
        <v>3880</v>
      </c>
      <c r="L1039" s="647" t="s">
        <v>8453</v>
      </c>
      <c r="M1039" s="647" t="s">
        <v>8454</v>
      </c>
      <c r="N1039" s="648">
        <v>40422</v>
      </c>
    </row>
    <row r="1040" spans="1:14" x14ac:dyDescent="0.35">
      <c r="A1040" s="647">
        <v>509203</v>
      </c>
      <c r="B1040" s="647" t="s">
        <v>8455</v>
      </c>
      <c r="C1040" s="649"/>
      <c r="D1040" s="649"/>
      <c r="E1040" s="649"/>
      <c r="F1040" s="649"/>
      <c r="G1040" s="649"/>
      <c r="H1040" s="647" t="s">
        <v>3924</v>
      </c>
      <c r="I1040" s="647" t="s">
        <v>4083</v>
      </c>
      <c r="J1040" s="647"/>
      <c r="K1040" s="647" t="s">
        <v>8456</v>
      </c>
      <c r="L1040" s="647" t="s">
        <v>8457</v>
      </c>
      <c r="M1040" s="649"/>
      <c r="N1040" s="648">
        <v>40422</v>
      </c>
    </row>
    <row r="1041" spans="1:14" x14ac:dyDescent="0.35">
      <c r="A1041" s="647">
        <v>509204</v>
      </c>
      <c r="B1041" s="647" t="s">
        <v>8458</v>
      </c>
      <c r="C1041" s="647" t="s">
        <v>8459</v>
      </c>
      <c r="D1041" s="647" t="s">
        <v>2259</v>
      </c>
      <c r="E1041" s="647" t="s">
        <v>2231</v>
      </c>
      <c r="F1041" s="647">
        <v>33409</v>
      </c>
      <c r="G1041" s="647" t="s">
        <v>8460</v>
      </c>
      <c r="H1041" s="647" t="s">
        <v>3924</v>
      </c>
      <c r="I1041" s="647" t="s">
        <v>4175</v>
      </c>
      <c r="J1041" s="647"/>
      <c r="K1041" s="649"/>
      <c r="L1041" s="649"/>
      <c r="M1041" s="649"/>
      <c r="N1041" s="648">
        <v>40422</v>
      </c>
    </row>
    <row r="1042" spans="1:14" x14ac:dyDescent="0.35">
      <c r="A1042" s="647">
        <v>509205</v>
      </c>
      <c r="B1042" s="647" t="s">
        <v>8461</v>
      </c>
      <c r="C1042" s="647" t="s">
        <v>8462</v>
      </c>
      <c r="D1042" s="647" t="s">
        <v>2259</v>
      </c>
      <c r="E1042" s="647" t="s">
        <v>2231</v>
      </c>
      <c r="F1042" s="647">
        <v>33407</v>
      </c>
      <c r="G1042" s="647" t="s">
        <v>8463</v>
      </c>
      <c r="H1042" s="647" t="s">
        <v>3924</v>
      </c>
      <c r="I1042" s="647" t="s">
        <v>4175</v>
      </c>
      <c r="J1042" s="647"/>
      <c r="K1042" s="647" t="s">
        <v>4782</v>
      </c>
      <c r="L1042" s="647" t="s">
        <v>8159</v>
      </c>
      <c r="M1042" s="647" t="s">
        <v>7642</v>
      </c>
      <c r="N1042" s="648">
        <v>40422</v>
      </c>
    </row>
    <row r="1043" spans="1:14" x14ac:dyDescent="0.35">
      <c r="A1043" s="647">
        <v>509206</v>
      </c>
      <c r="B1043" s="647" t="s">
        <v>8464</v>
      </c>
      <c r="C1043" s="647" t="s">
        <v>8465</v>
      </c>
      <c r="D1043" s="647" t="s">
        <v>8466</v>
      </c>
      <c r="E1043" s="647" t="s">
        <v>2231</v>
      </c>
      <c r="F1043" s="647">
        <v>33351</v>
      </c>
      <c r="G1043" s="649"/>
      <c r="H1043" s="647" t="s">
        <v>3924</v>
      </c>
      <c r="I1043" s="647" t="s">
        <v>4175</v>
      </c>
      <c r="J1043" s="647"/>
      <c r="K1043" s="647" t="s">
        <v>8467</v>
      </c>
      <c r="L1043" s="647" t="s">
        <v>8468</v>
      </c>
      <c r="M1043" s="647" t="s">
        <v>3826</v>
      </c>
      <c r="N1043" s="648">
        <v>40452</v>
      </c>
    </row>
    <row r="1044" spans="1:14" x14ac:dyDescent="0.35">
      <c r="A1044" s="647">
        <v>509218</v>
      </c>
      <c r="B1044" s="647" t="s">
        <v>8469</v>
      </c>
      <c r="C1044" s="647" t="s">
        <v>8470</v>
      </c>
      <c r="D1044" s="647" t="s">
        <v>8471</v>
      </c>
      <c r="E1044" s="647" t="s">
        <v>2231</v>
      </c>
      <c r="F1044" s="647">
        <v>33021</v>
      </c>
      <c r="G1044" s="647" t="s">
        <v>8472</v>
      </c>
      <c r="H1044" s="647" t="s">
        <v>3924</v>
      </c>
      <c r="I1044" s="647" t="s">
        <v>4175</v>
      </c>
      <c r="J1044" s="647"/>
      <c r="K1044" s="647" t="s">
        <v>6940</v>
      </c>
      <c r="L1044" s="647" t="s">
        <v>4330</v>
      </c>
      <c r="M1044" s="647" t="s">
        <v>8473</v>
      </c>
      <c r="N1044" s="648">
        <v>40179</v>
      </c>
    </row>
    <row r="1045" spans="1:14" x14ac:dyDescent="0.35">
      <c r="A1045" s="647">
        <v>510001</v>
      </c>
      <c r="B1045" s="647" t="s">
        <v>8474</v>
      </c>
      <c r="C1045" s="647" t="s">
        <v>8475</v>
      </c>
      <c r="D1045" s="647" t="s">
        <v>8476</v>
      </c>
      <c r="E1045" s="647" t="s">
        <v>2282</v>
      </c>
      <c r="F1045" s="647">
        <v>30338</v>
      </c>
      <c r="G1045" s="647" t="s">
        <v>8477</v>
      </c>
      <c r="H1045" s="649"/>
      <c r="I1045" s="649"/>
      <c r="J1045" s="649"/>
      <c r="K1045" s="647" t="s">
        <v>8308</v>
      </c>
      <c r="L1045" s="647" t="s">
        <v>6753</v>
      </c>
      <c r="M1045" s="647" t="s">
        <v>4078</v>
      </c>
      <c r="N1045" s="648" t="e">
        <v>#N/A</v>
      </c>
    </row>
    <row r="1046" spans="1:14" x14ac:dyDescent="0.35">
      <c r="A1046" s="647">
        <v>510002</v>
      </c>
      <c r="B1046" s="647" t="s">
        <v>8478</v>
      </c>
      <c r="C1046" s="647" t="s">
        <v>8475</v>
      </c>
      <c r="D1046" s="647" t="s">
        <v>8476</v>
      </c>
      <c r="E1046" s="647" t="s">
        <v>2282</v>
      </c>
      <c r="F1046" s="647">
        <v>30338</v>
      </c>
      <c r="G1046" s="647" t="s">
        <v>8477</v>
      </c>
      <c r="H1046" s="649"/>
      <c r="I1046" s="649"/>
      <c r="J1046" s="649"/>
      <c r="K1046" s="647" t="s">
        <v>4453</v>
      </c>
      <c r="L1046" s="647" t="s">
        <v>8479</v>
      </c>
      <c r="M1046" s="647" t="s">
        <v>4078</v>
      </c>
      <c r="N1046" s="648" t="e">
        <v>#N/A</v>
      </c>
    </row>
    <row r="1047" spans="1:14" x14ac:dyDescent="0.35">
      <c r="A1047" s="647">
        <v>510003</v>
      </c>
      <c r="B1047" s="647" t="s">
        <v>8480</v>
      </c>
      <c r="C1047" s="647" t="s">
        <v>8481</v>
      </c>
      <c r="D1047" s="647" t="s">
        <v>3264</v>
      </c>
      <c r="E1047" s="647" t="s">
        <v>2282</v>
      </c>
      <c r="F1047" s="647">
        <v>30062</v>
      </c>
      <c r="G1047" s="647" t="s">
        <v>8482</v>
      </c>
      <c r="H1047" s="649"/>
      <c r="I1047" s="649"/>
      <c r="J1047" s="649"/>
      <c r="K1047" s="649"/>
      <c r="L1047" s="649"/>
      <c r="M1047" s="649"/>
      <c r="N1047" s="648" t="e">
        <v>#N/A</v>
      </c>
    </row>
    <row r="1048" spans="1:14" x14ac:dyDescent="0.35">
      <c r="A1048" s="647">
        <v>510004</v>
      </c>
      <c r="B1048" s="647" t="s">
        <v>8483</v>
      </c>
      <c r="C1048" s="647" t="s">
        <v>8484</v>
      </c>
      <c r="D1048" s="647" t="s">
        <v>2291</v>
      </c>
      <c r="E1048" s="647" t="s">
        <v>2282</v>
      </c>
      <c r="F1048" s="647">
        <v>30809</v>
      </c>
      <c r="G1048" s="647" t="s">
        <v>8485</v>
      </c>
      <c r="H1048" s="647" t="s">
        <v>3924</v>
      </c>
      <c r="I1048" s="647" t="s">
        <v>4175</v>
      </c>
      <c r="J1048" s="647"/>
      <c r="K1048" s="649"/>
      <c r="L1048" s="649"/>
      <c r="M1048" s="649"/>
      <c r="N1048" s="648">
        <v>40445</v>
      </c>
    </row>
    <row r="1049" spans="1:14" x14ac:dyDescent="0.35">
      <c r="A1049" s="647">
        <v>510505</v>
      </c>
      <c r="B1049" s="647" t="s">
        <v>8486</v>
      </c>
      <c r="C1049" s="647" t="s">
        <v>8487</v>
      </c>
      <c r="D1049" s="647" t="s">
        <v>2302</v>
      </c>
      <c r="E1049" s="647" t="s">
        <v>2282</v>
      </c>
      <c r="F1049" s="647">
        <v>31405</v>
      </c>
      <c r="G1049" s="647" t="s">
        <v>8488</v>
      </c>
      <c r="H1049" s="649"/>
      <c r="I1049" s="649"/>
      <c r="J1049" s="649"/>
      <c r="K1049" s="647" t="s">
        <v>8489</v>
      </c>
      <c r="L1049" s="647" t="s">
        <v>8490</v>
      </c>
      <c r="M1049" s="647" t="s">
        <v>4078</v>
      </c>
      <c r="N1049" s="648" t="e">
        <v>#N/A</v>
      </c>
    </row>
    <row r="1050" spans="1:14" x14ac:dyDescent="0.35">
      <c r="A1050" s="647">
        <v>512001</v>
      </c>
      <c r="B1050" s="647" t="s">
        <v>8491</v>
      </c>
      <c r="C1050" s="647" t="s">
        <v>8492</v>
      </c>
      <c r="D1050" s="647" t="s">
        <v>2351</v>
      </c>
      <c r="E1050" s="647" t="s">
        <v>2336</v>
      </c>
      <c r="F1050" s="647">
        <v>60606</v>
      </c>
      <c r="G1050" s="647" t="s">
        <v>8493</v>
      </c>
      <c r="H1050" s="649"/>
      <c r="I1050" s="649"/>
      <c r="J1050" s="649"/>
      <c r="K1050" s="647" t="s">
        <v>8317</v>
      </c>
      <c r="L1050" s="647" t="s">
        <v>8494</v>
      </c>
      <c r="M1050" s="647" t="s">
        <v>4078</v>
      </c>
      <c r="N1050" s="648" t="e">
        <v>#N/A</v>
      </c>
    </row>
    <row r="1051" spans="1:14" x14ac:dyDescent="0.35">
      <c r="A1051" s="647">
        <v>512002</v>
      </c>
      <c r="B1051" s="647" t="s">
        <v>8495</v>
      </c>
      <c r="C1051" s="647" t="s">
        <v>8496</v>
      </c>
      <c r="D1051" s="647" t="s">
        <v>2351</v>
      </c>
      <c r="E1051" s="647" t="s">
        <v>2336</v>
      </c>
      <c r="F1051" s="647">
        <v>60657</v>
      </c>
      <c r="G1051" s="647" t="s">
        <v>8497</v>
      </c>
      <c r="H1051" s="649"/>
      <c r="I1051" s="649"/>
      <c r="J1051" s="649"/>
      <c r="K1051" s="647" t="s">
        <v>4024</v>
      </c>
      <c r="L1051" s="647" t="s">
        <v>8498</v>
      </c>
      <c r="M1051" s="647" t="s">
        <v>3892</v>
      </c>
      <c r="N1051" s="648" t="e">
        <v>#N/A</v>
      </c>
    </row>
    <row r="1052" spans="1:14" x14ac:dyDescent="0.35">
      <c r="A1052" s="647">
        <v>512003</v>
      </c>
      <c r="B1052" s="647" t="s">
        <v>8499</v>
      </c>
      <c r="C1052" s="647" t="s">
        <v>8500</v>
      </c>
      <c r="D1052" s="647" t="s">
        <v>2351</v>
      </c>
      <c r="E1052" s="647" t="s">
        <v>2336</v>
      </c>
      <c r="F1052" s="647">
        <v>60615</v>
      </c>
      <c r="G1052" s="647" t="s">
        <v>8501</v>
      </c>
      <c r="H1052" s="649"/>
      <c r="I1052" s="649"/>
      <c r="J1052" s="649"/>
      <c r="K1052" s="647" t="s">
        <v>4129</v>
      </c>
      <c r="L1052" s="647" t="s">
        <v>8502</v>
      </c>
      <c r="M1052" s="647" t="s">
        <v>8503</v>
      </c>
      <c r="N1052" s="648" t="e">
        <v>#N/A</v>
      </c>
    </row>
    <row r="1053" spans="1:14" x14ac:dyDescent="0.35">
      <c r="A1053" s="647">
        <v>512004</v>
      </c>
      <c r="B1053" s="647" t="s">
        <v>8504</v>
      </c>
      <c r="C1053" s="647" t="s">
        <v>8505</v>
      </c>
      <c r="D1053" s="647" t="s">
        <v>2351</v>
      </c>
      <c r="E1053" s="647" t="s">
        <v>2336</v>
      </c>
      <c r="F1053" s="647">
        <v>60645</v>
      </c>
      <c r="G1053" s="647" t="s">
        <v>8506</v>
      </c>
      <c r="H1053" s="649"/>
      <c r="I1053" s="649"/>
      <c r="J1053" s="649"/>
      <c r="K1053" s="649"/>
      <c r="L1053" s="649"/>
      <c r="M1053" s="649"/>
      <c r="N1053" s="648" t="e">
        <v>#N/A</v>
      </c>
    </row>
    <row r="1054" spans="1:14" x14ac:dyDescent="0.35">
      <c r="A1054" s="647">
        <v>512005</v>
      </c>
      <c r="B1054" s="647" t="s">
        <v>8507</v>
      </c>
      <c r="C1054" s="647" t="s">
        <v>8508</v>
      </c>
      <c r="D1054" s="647" t="s">
        <v>8509</v>
      </c>
      <c r="E1054" s="647" t="s">
        <v>2336</v>
      </c>
      <c r="F1054" s="647">
        <v>60077</v>
      </c>
      <c r="G1054" s="647" t="s">
        <v>8510</v>
      </c>
      <c r="H1054" s="649"/>
      <c r="I1054" s="649"/>
      <c r="J1054" s="649"/>
      <c r="K1054" s="649"/>
      <c r="L1054" s="649"/>
      <c r="M1054" s="649"/>
      <c r="N1054" s="648" t="e">
        <v>#N/A</v>
      </c>
    </row>
    <row r="1055" spans="1:14" x14ac:dyDescent="0.35">
      <c r="A1055" s="647">
        <v>512006</v>
      </c>
      <c r="B1055" s="647" t="s">
        <v>8511</v>
      </c>
      <c r="C1055" s="647" t="s">
        <v>8512</v>
      </c>
      <c r="D1055" s="647" t="s">
        <v>8513</v>
      </c>
      <c r="E1055" s="647" t="s">
        <v>2336</v>
      </c>
      <c r="F1055" s="647">
        <v>60062</v>
      </c>
      <c r="G1055" s="647" t="s">
        <v>8514</v>
      </c>
      <c r="H1055" s="649"/>
      <c r="I1055" s="649"/>
      <c r="J1055" s="649"/>
      <c r="K1055" s="649"/>
      <c r="L1055" s="649"/>
      <c r="M1055" s="649"/>
      <c r="N1055" s="648" t="e">
        <v>#N/A</v>
      </c>
    </row>
    <row r="1056" spans="1:14" x14ac:dyDescent="0.35">
      <c r="A1056" s="647">
        <v>512007</v>
      </c>
      <c r="B1056" s="647" t="s">
        <v>8515</v>
      </c>
      <c r="C1056" s="647" t="s">
        <v>8516</v>
      </c>
      <c r="D1056" s="647" t="s">
        <v>8517</v>
      </c>
      <c r="E1056" s="647" t="s">
        <v>2336</v>
      </c>
      <c r="F1056" s="647">
        <v>60089</v>
      </c>
      <c r="G1056" s="647" t="s">
        <v>8518</v>
      </c>
      <c r="H1056" s="649"/>
      <c r="I1056" s="649"/>
      <c r="J1056" s="649"/>
      <c r="K1056" s="647" t="s">
        <v>8519</v>
      </c>
      <c r="L1056" s="647" t="s">
        <v>8520</v>
      </c>
      <c r="M1056" s="647" t="s">
        <v>8521</v>
      </c>
      <c r="N1056" s="648" t="e">
        <v>#N/A</v>
      </c>
    </row>
    <row r="1057" spans="1:14" x14ac:dyDescent="0.35">
      <c r="A1057" s="647">
        <v>512008</v>
      </c>
      <c r="B1057" s="647" t="s">
        <v>8522</v>
      </c>
      <c r="C1057" s="647" t="s">
        <v>8523</v>
      </c>
      <c r="D1057" s="647" t="s">
        <v>8524</v>
      </c>
      <c r="E1057" s="647" t="s">
        <v>2336</v>
      </c>
      <c r="F1057" s="647">
        <v>60422</v>
      </c>
      <c r="G1057" s="647" t="s">
        <v>8525</v>
      </c>
      <c r="H1057" s="649"/>
      <c r="I1057" s="649"/>
      <c r="J1057" s="649"/>
      <c r="K1057" s="649"/>
      <c r="L1057" s="649"/>
      <c r="M1057" s="649"/>
      <c r="N1057" s="648" t="e">
        <v>#N/A</v>
      </c>
    </row>
    <row r="1058" spans="1:14" x14ac:dyDescent="0.35">
      <c r="A1058" s="647">
        <v>512013</v>
      </c>
      <c r="B1058" s="647" t="s">
        <v>8526</v>
      </c>
      <c r="C1058" s="647" t="s">
        <v>8527</v>
      </c>
      <c r="D1058" s="647" t="s">
        <v>8528</v>
      </c>
      <c r="E1058" s="647" t="s">
        <v>3741</v>
      </c>
      <c r="F1058" s="647">
        <v>53940</v>
      </c>
      <c r="G1058" s="647" t="s">
        <v>8529</v>
      </c>
      <c r="H1058" s="649"/>
      <c r="I1058" s="649"/>
      <c r="J1058" s="649"/>
      <c r="K1058" s="647" t="s">
        <v>4293</v>
      </c>
      <c r="L1058" s="647" t="s">
        <v>8530</v>
      </c>
      <c r="M1058" s="647" t="s">
        <v>8531</v>
      </c>
      <c r="N1058" s="648" t="e">
        <v>#N/A</v>
      </c>
    </row>
    <row r="1059" spans="1:14" x14ac:dyDescent="0.35">
      <c r="A1059" s="647">
        <v>512209</v>
      </c>
      <c r="B1059" s="647" t="s">
        <v>8532</v>
      </c>
      <c r="C1059" s="647" t="s">
        <v>8533</v>
      </c>
      <c r="D1059" s="647" t="s">
        <v>2408</v>
      </c>
      <c r="E1059" s="647" t="s">
        <v>2336</v>
      </c>
      <c r="F1059" s="647">
        <v>60062</v>
      </c>
      <c r="G1059" s="647" t="s">
        <v>8534</v>
      </c>
      <c r="H1059" s="649"/>
      <c r="I1059" s="649"/>
      <c r="J1059" s="649"/>
      <c r="K1059" s="649"/>
      <c r="L1059" s="649"/>
      <c r="M1059" s="649"/>
      <c r="N1059" s="648" t="e">
        <v>#N/A</v>
      </c>
    </row>
    <row r="1060" spans="1:14" x14ac:dyDescent="0.35">
      <c r="A1060" s="647">
        <v>512212</v>
      </c>
      <c r="B1060" s="647" t="s">
        <v>8535</v>
      </c>
      <c r="C1060" s="647" t="s">
        <v>8527</v>
      </c>
      <c r="D1060" s="647" t="s">
        <v>8528</v>
      </c>
      <c r="E1060" s="647" t="s">
        <v>3741</v>
      </c>
      <c r="F1060" s="647">
        <v>53940</v>
      </c>
      <c r="G1060" s="647" t="s">
        <v>8536</v>
      </c>
      <c r="H1060" s="649"/>
      <c r="I1060" s="649"/>
      <c r="J1060" s="649"/>
      <c r="K1060" s="649"/>
      <c r="L1060" s="649"/>
      <c r="M1060" s="649"/>
      <c r="N1060" s="648" t="e">
        <v>#N/A</v>
      </c>
    </row>
    <row r="1061" spans="1:14" x14ac:dyDescent="0.35">
      <c r="A1061" s="647">
        <v>512511</v>
      </c>
      <c r="B1061" s="647" t="s">
        <v>8537</v>
      </c>
      <c r="C1061" s="647" t="s">
        <v>8508</v>
      </c>
      <c r="D1061" s="647" t="s">
        <v>8509</v>
      </c>
      <c r="E1061" s="647" t="s">
        <v>2336</v>
      </c>
      <c r="F1061" s="647">
        <v>60077</v>
      </c>
      <c r="G1061" s="647" t="s">
        <v>8538</v>
      </c>
      <c r="H1061" s="649"/>
      <c r="I1061" s="649"/>
      <c r="J1061" s="649"/>
      <c r="K1061" s="647" t="s">
        <v>5694</v>
      </c>
      <c r="L1061" s="647" t="s">
        <v>8539</v>
      </c>
      <c r="M1061" s="647" t="s">
        <v>4025</v>
      </c>
      <c r="N1061" s="648" t="e">
        <v>#N/A</v>
      </c>
    </row>
    <row r="1062" spans="1:14" x14ac:dyDescent="0.35">
      <c r="A1062" s="647">
        <v>512610</v>
      </c>
      <c r="B1062" s="647" t="s">
        <v>8540</v>
      </c>
      <c r="C1062" s="647" t="s">
        <v>8541</v>
      </c>
      <c r="D1062" s="647" t="s">
        <v>2351</v>
      </c>
      <c r="E1062" s="647" t="s">
        <v>2336</v>
      </c>
      <c r="F1062" s="647">
        <v>60640</v>
      </c>
      <c r="G1062" s="647" t="s">
        <v>8542</v>
      </c>
      <c r="H1062" s="649"/>
      <c r="I1062" s="649"/>
      <c r="J1062" s="649"/>
      <c r="K1062" s="649"/>
      <c r="L1062" s="649"/>
      <c r="M1062" s="649"/>
      <c r="N1062" s="648" t="e">
        <v>#N/A</v>
      </c>
    </row>
    <row r="1063" spans="1:14" x14ac:dyDescent="0.35">
      <c r="A1063" s="647">
        <v>513001</v>
      </c>
      <c r="B1063" s="647" t="s">
        <v>8543</v>
      </c>
      <c r="C1063" s="647" t="s">
        <v>8544</v>
      </c>
      <c r="D1063" s="647" t="s">
        <v>2477</v>
      </c>
      <c r="E1063" s="647" t="s">
        <v>2440</v>
      </c>
      <c r="F1063" s="647">
        <v>46260</v>
      </c>
      <c r="G1063" s="647" t="s">
        <v>8545</v>
      </c>
      <c r="H1063" s="649"/>
      <c r="I1063" s="649"/>
      <c r="J1063" s="649"/>
      <c r="K1063" s="647" t="s">
        <v>8546</v>
      </c>
      <c r="L1063" s="647" t="s">
        <v>8547</v>
      </c>
      <c r="M1063" s="647" t="s">
        <v>4025</v>
      </c>
      <c r="N1063" s="648" t="e">
        <v>#N/A</v>
      </c>
    </row>
    <row r="1064" spans="1:14" x14ac:dyDescent="0.35">
      <c r="A1064" s="647">
        <v>515001</v>
      </c>
      <c r="B1064" s="647" t="s">
        <v>8548</v>
      </c>
      <c r="C1064" s="647" t="s">
        <v>8549</v>
      </c>
      <c r="D1064" s="647" t="s">
        <v>8550</v>
      </c>
      <c r="E1064" s="647" t="s">
        <v>2585</v>
      </c>
      <c r="F1064" s="647">
        <v>66211</v>
      </c>
      <c r="G1064" s="647" t="s">
        <v>8551</v>
      </c>
      <c r="H1064" s="647" t="s">
        <v>3924</v>
      </c>
      <c r="I1064" s="647" t="s">
        <v>4175</v>
      </c>
      <c r="J1064" s="647"/>
      <c r="K1064" s="647" t="s">
        <v>8552</v>
      </c>
      <c r="L1064" s="647" t="s">
        <v>8553</v>
      </c>
      <c r="M1064" s="647" t="s">
        <v>4078</v>
      </c>
      <c r="N1064" s="648">
        <v>40451</v>
      </c>
    </row>
    <row r="1065" spans="1:14" x14ac:dyDescent="0.35">
      <c r="A1065" s="647">
        <v>515201</v>
      </c>
      <c r="B1065" s="647" t="s">
        <v>8554</v>
      </c>
      <c r="C1065" s="649"/>
      <c r="D1065" s="649"/>
      <c r="E1065" s="649"/>
      <c r="F1065" s="649"/>
      <c r="G1065" s="649"/>
      <c r="H1065" s="647" t="s">
        <v>3924</v>
      </c>
      <c r="I1065" s="647" t="s">
        <v>4175</v>
      </c>
      <c r="J1065" s="647"/>
      <c r="K1065" s="647" t="s">
        <v>4518</v>
      </c>
      <c r="L1065" s="647" t="s">
        <v>8555</v>
      </c>
      <c r="M1065" s="647" t="s">
        <v>4009</v>
      </c>
      <c r="N1065" s="648">
        <v>40479</v>
      </c>
    </row>
    <row r="1066" spans="1:14" x14ac:dyDescent="0.35">
      <c r="A1066" s="647">
        <v>515202</v>
      </c>
      <c r="B1066" s="647" t="s">
        <v>8556</v>
      </c>
      <c r="C1066" s="649"/>
      <c r="D1066" s="649"/>
      <c r="E1066" s="649"/>
      <c r="F1066" s="649"/>
      <c r="G1066" s="649"/>
      <c r="H1066" s="647" t="s">
        <v>3924</v>
      </c>
      <c r="I1066" s="647" t="s">
        <v>4083</v>
      </c>
      <c r="J1066" s="647"/>
      <c r="K1066" s="649"/>
      <c r="L1066" s="649"/>
      <c r="M1066" s="649"/>
      <c r="N1066" s="648" t="e">
        <v>#N/A</v>
      </c>
    </row>
    <row r="1067" spans="1:14" x14ac:dyDescent="0.35">
      <c r="A1067" s="647">
        <v>515601</v>
      </c>
      <c r="B1067" s="647" t="s">
        <v>8557</v>
      </c>
      <c r="C1067" s="649"/>
      <c r="D1067" s="649"/>
      <c r="E1067" s="649"/>
      <c r="F1067" s="649"/>
      <c r="G1067" s="649"/>
      <c r="H1067" s="647" t="s">
        <v>3924</v>
      </c>
      <c r="I1067" s="647" t="s">
        <v>4083</v>
      </c>
      <c r="J1067" s="647"/>
      <c r="K1067" s="649"/>
      <c r="L1067" s="649"/>
      <c r="M1067" s="649"/>
      <c r="N1067" s="648" t="e">
        <v>#N/A</v>
      </c>
    </row>
    <row r="1068" spans="1:14" x14ac:dyDescent="0.35">
      <c r="A1068" s="647">
        <v>516001</v>
      </c>
      <c r="B1068" s="647" t="s">
        <v>8558</v>
      </c>
      <c r="C1068" s="647" t="s">
        <v>8559</v>
      </c>
      <c r="D1068" s="647" t="s">
        <v>2619</v>
      </c>
      <c r="E1068" s="647" t="s">
        <v>2606</v>
      </c>
      <c r="F1068" s="647">
        <v>40205</v>
      </c>
      <c r="G1068" s="647" t="s">
        <v>8560</v>
      </c>
      <c r="H1068" s="647" t="s">
        <v>3924</v>
      </c>
      <c r="I1068" s="647" t="s">
        <v>4083</v>
      </c>
      <c r="J1068" s="647"/>
      <c r="K1068" s="649"/>
      <c r="L1068" s="649"/>
      <c r="M1068" s="649"/>
      <c r="N1068" s="648" t="e">
        <v>#N/A</v>
      </c>
    </row>
    <row r="1069" spans="1:14" x14ac:dyDescent="0.35">
      <c r="A1069" s="647">
        <v>517001</v>
      </c>
      <c r="B1069" s="647" t="s">
        <v>8561</v>
      </c>
      <c r="C1069" s="647" t="s">
        <v>8562</v>
      </c>
      <c r="D1069" s="647" t="s">
        <v>2652</v>
      </c>
      <c r="E1069" s="647" t="s">
        <v>2640</v>
      </c>
      <c r="F1069" s="647">
        <v>70115</v>
      </c>
      <c r="G1069" s="647" t="s">
        <v>8563</v>
      </c>
      <c r="H1069" s="647" t="s">
        <v>3924</v>
      </c>
      <c r="I1069" s="647" t="s">
        <v>4175</v>
      </c>
      <c r="J1069" s="647"/>
      <c r="K1069" s="647" t="s">
        <v>5519</v>
      </c>
      <c r="L1069" s="647" t="s">
        <v>8564</v>
      </c>
      <c r="M1069" s="647" t="s">
        <v>4078</v>
      </c>
      <c r="N1069" s="648" t="e">
        <v>#N/A</v>
      </c>
    </row>
    <row r="1070" spans="1:14" x14ac:dyDescent="0.35">
      <c r="A1070" s="647">
        <v>517002</v>
      </c>
      <c r="B1070" s="647" t="s">
        <v>8565</v>
      </c>
      <c r="C1070" s="647" t="s">
        <v>8566</v>
      </c>
      <c r="D1070" s="647" t="s">
        <v>8567</v>
      </c>
      <c r="E1070" s="647" t="s">
        <v>2640</v>
      </c>
      <c r="F1070" s="647">
        <v>70002</v>
      </c>
      <c r="G1070" s="647" t="s">
        <v>8568</v>
      </c>
      <c r="H1070" s="649"/>
      <c r="I1070" s="649"/>
      <c r="J1070" s="649"/>
      <c r="K1070" s="647" t="s">
        <v>8569</v>
      </c>
      <c r="L1070" s="647" t="s">
        <v>8570</v>
      </c>
      <c r="M1070" s="647" t="s">
        <v>4078</v>
      </c>
      <c r="N1070" s="648" t="e">
        <v>#N/A</v>
      </c>
    </row>
    <row r="1071" spans="1:14" x14ac:dyDescent="0.35">
      <c r="A1071" s="647">
        <v>518001</v>
      </c>
      <c r="B1071" s="647" t="s">
        <v>8571</v>
      </c>
      <c r="C1071" s="647" t="s">
        <v>8572</v>
      </c>
      <c r="D1071" s="647" t="s">
        <v>2685</v>
      </c>
      <c r="E1071" s="647" t="s">
        <v>2657</v>
      </c>
      <c r="F1071" s="647">
        <v>4103</v>
      </c>
      <c r="G1071" s="647" t="s">
        <v>8573</v>
      </c>
      <c r="H1071" s="649"/>
      <c r="I1071" s="649"/>
      <c r="J1071" s="649"/>
      <c r="K1071" s="649"/>
      <c r="L1071" s="649"/>
      <c r="M1071" s="649"/>
      <c r="N1071" s="648" t="e">
        <v>#N/A</v>
      </c>
    </row>
    <row r="1072" spans="1:14" x14ac:dyDescent="0.35">
      <c r="A1072" s="647">
        <v>519001</v>
      </c>
      <c r="B1072" s="647" t="s">
        <v>8574</v>
      </c>
      <c r="C1072" s="647" t="s">
        <v>8575</v>
      </c>
      <c r="D1072" s="647" t="s">
        <v>8576</v>
      </c>
      <c r="E1072" s="647" t="s">
        <v>2690</v>
      </c>
      <c r="F1072" s="647">
        <v>21117</v>
      </c>
      <c r="G1072" s="647" t="s">
        <v>8577</v>
      </c>
      <c r="H1072" s="649"/>
      <c r="I1072" s="649"/>
      <c r="J1072" s="649"/>
      <c r="K1072" s="647" t="s">
        <v>6841</v>
      </c>
      <c r="L1072" s="647" t="s">
        <v>8578</v>
      </c>
      <c r="M1072" s="647" t="s">
        <v>4078</v>
      </c>
      <c r="N1072" s="648" t="e">
        <v>#N/A</v>
      </c>
    </row>
    <row r="1073" spans="1:14" x14ac:dyDescent="0.35">
      <c r="A1073" s="647">
        <v>519002</v>
      </c>
      <c r="B1073" s="647" t="s">
        <v>8579</v>
      </c>
      <c r="C1073" s="647" t="s">
        <v>8580</v>
      </c>
      <c r="D1073" s="647" t="s">
        <v>2689</v>
      </c>
      <c r="E1073" s="647" t="s">
        <v>2690</v>
      </c>
      <c r="F1073" s="647">
        <v>21215</v>
      </c>
      <c r="G1073" s="647" t="s">
        <v>8581</v>
      </c>
      <c r="H1073" s="649"/>
      <c r="I1073" s="649"/>
      <c r="J1073" s="649"/>
      <c r="K1073" s="647" t="s">
        <v>6167</v>
      </c>
      <c r="L1073" s="647" t="s">
        <v>8582</v>
      </c>
      <c r="M1073" s="647" t="s">
        <v>4078</v>
      </c>
      <c r="N1073" s="648" t="e">
        <v>#N/A</v>
      </c>
    </row>
    <row r="1074" spans="1:14" x14ac:dyDescent="0.35">
      <c r="A1074" s="647">
        <v>519003</v>
      </c>
      <c r="B1074" s="647" t="s">
        <v>8583</v>
      </c>
      <c r="C1074" s="647" t="s">
        <v>8584</v>
      </c>
      <c r="D1074" s="647" t="s">
        <v>8585</v>
      </c>
      <c r="E1074" s="647" t="s">
        <v>2690</v>
      </c>
      <c r="F1074" s="647">
        <v>20852</v>
      </c>
      <c r="G1074" s="647" t="s">
        <v>8586</v>
      </c>
      <c r="H1074" s="649"/>
      <c r="I1074" s="649"/>
      <c r="J1074" s="649"/>
      <c r="K1074" s="649"/>
      <c r="L1074" s="649"/>
      <c r="M1074" s="649"/>
      <c r="N1074" s="648" t="e">
        <v>#N/A</v>
      </c>
    </row>
    <row r="1075" spans="1:14" x14ac:dyDescent="0.35">
      <c r="A1075" s="647">
        <v>519204</v>
      </c>
      <c r="B1075" s="647" t="s">
        <v>8587</v>
      </c>
      <c r="C1075" s="647" t="s">
        <v>8588</v>
      </c>
      <c r="D1075" s="647" t="s">
        <v>8585</v>
      </c>
      <c r="E1075" s="647" t="s">
        <v>2690</v>
      </c>
      <c r="F1075" s="647">
        <v>20852</v>
      </c>
      <c r="G1075" s="647" t="s">
        <v>8589</v>
      </c>
      <c r="H1075" s="649"/>
      <c r="I1075" s="649"/>
      <c r="J1075" s="649"/>
      <c r="K1075" s="647" t="s">
        <v>8590</v>
      </c>
      <c r="L1075" s="647" t="s">
        <v>8309</v>
      </c>
      <c r="M1075" s="647" t="s">
        <v>3826</v>
      </c>
      <c r="N1075" s="648" t="e">
        <v>#N/A</v>
      </c>
    </row>
    <row r="1076" spans="1:14" x14ac:dyDescent="0.35">
      <c r="A1076" s="647">
        <v>520001</v>
      </c>
      <c r="B1076" s="647" t="s">
        <v>8591</v>
      </c>
      <c r="C1076" s="647" t="s">
        <v>8592</v>
      </c>
      <c r="D1076" s="647" t="s">
        <v>8593</v>
      </c>
      <c r="E1076" s="647" t="s">
        <v>2707</v>
      </c>
      <c r="F1076" s="647">
        <v>2459</v>
      </c>
      <c r="G1076" s="647" t="s">
        <v>8594</v>
      </c>
      <c r="H1076" s="649"/>
      <c r="I1076" s="649"/>
      <c r="J1076" s="649"/>
      <c r="K1076" s="647" t="s">
        <v>4164</v>
      </c>
      <c r="L1076" s="647" t="s">
        <v>3897</v>
      </c>
      <c r="M1076" s="647" t="s">
        <v>8595</v>
      </c>
      <c r="N1076" s="648" t="e">
        <v>#N/A</v>
      </c>
    </row>
    <row r="1077" spans="1:14" x14ac:dyDescent="0.35">
      <c r="A1077" s="647">
        <v>520002</v>
      </c>
      <c r="B1077" s="647" t="s">
        <v>8596</v>
      </c>
      <c r="C1077" s="647" t="s">
        <v>8592</v>
      </c>
      <c r="D1077" s="647" t="s">
        <v>8593</v>
      </c>
      <c r="E1077" s="647" t="s">
        <v>2707</v>
      </c>
      <c r="F1077" s="647">
        <v>2459</v>
      </c>
      <c r="G1077" s="647" t="s">
        <v>8597</v>
      </c>
      <c r="H1077" s="649"/>
      <c r="I1077" s="649"/>
      <c r="J1077" s="649"/>
      <c r="K1077" s="647" t="s">
        <v>3860</v>
      </c>
      <c r="L1077" s="647" t="s">
        <v>8598</v>
      </c>
      <c r="M1077" s="647" t="s">
        <v>4078</v>
      </c>
      <c r="N1077" s="648" t="e">
        <v>#N/A</v>
      </c>
    </row>
    <row r="1078" spans="1:14" x14ac:dyDescent="0.35">
      <c r="A1078" s="647">
        <v>520003</v>
      </c>
      <c r="B1078" s="647" t="s">
        <v>8599</v>
      </c>
      <c r="C1078" s="647" t="s">
        <v>8600</v>
      </c>
      <c r="D1078" s="647" t="s">
        <v>8601</v>
      </c>
      <c r="E1078" s="647" t="s">
        <v>2707</v>
      </c>
      <c r="F1078" s="647">
        <v>2135</v>
      </c>
      <c r="G1078" s="647" t="s">
        <v>8602</v>
      </c>
      <c r="H1078" s="649"/>
      <c r="I1078" s="649"/>
      <c r="J1078" s="649"/>
      <c r="K1078" s="647" t="s">
        <v>8603</v>
      </c>
      <c r="L1078" s="647" t="s">
        <v>8604</v>
      </c>
      <c r="M1078" s="647" t="s">
        <v>4078</v>
      </c>
      <c r="N1078" s="648" t="e">
        <v>#N/A</v>
      </c>
    </row>
    <row r="1079" spans="1:14" x14ac:dyDescent="0.35">
      <c r="A1079" s="647">
        <v>520004</v>
      </c>
      <c r="B1079" s="647" t="s">
        <v>8605</v>
      </c>
      <c r="C1079" s="647" t="s">
        <v>8606</v>
      </c>
      <c r="D1079" s="647" t="s">
        <v>2754</v>
      </c>
      <c r="E1079" s="647" t="s">
        <v>2707</v>
      </c>
      <c r="F1079" s="647">
        <v>1702</v>
      </c>
      <c r="G1079" s="647" t="s">
        <v>8607</v>
      </c>
      <c r="H1079" s="649"/>
      <c r="I1079" s="649"/>
      <c r="J1079" s="649"/>
      <c r="K1079" s="649"/>
      <c r="L1079" s="649"/>
      <c r="M1079" s="649"/>
      <c r="N1079" s="648" t="e">
        <v>#N/A</v>
      </c>
    </row>
    <row r="1080" spans="1:14" x14ac:dyDescent="0.35">
      <c r="A1080" s="647">
        <v>520005</v>
      </c>
      <c r="B1080" s="647" t="s">
        <v>8608</v>
      </c>
      <c r="C1080" s="647" t="s">
        <v>8609</v>
      </c>
      <c r="D1080" s="647" t="s">
        <v>8610</v>
      </c>
      <c r="E1080" s="647" t="s">
        <v>2707</v>
      </c>
      <c r="F1080" s="647">
        <v>2072</v>
      </c>
      <c r="G1080" s="647" t="s">
        <v>8611</v>
      </c>
      <c r="H1080" s="649"/>
      <c r="I1080" s="649"/>
      <c r="J1080" s="649"/>
      <c r="K1080" s="649"/>
      <c r="L1080" s="649"/>
      <c r="M1080" s="649"/>
      <c r="N1080" s="648" t="e">
        <v>#N/A</v>
      </c>
    </row>
    <row r="1081" spans="1:14" x14ac:dyDescent="0.35">
      <c r="A1081" s="647">
        <v>520006</v>
      </c>
      <c r="B1081" s="647" t="s">
        <v>8612</v>
      </c>
      <c r="C1081" s="647" t="s">
        <v>8613</v>
      </c>
      <c r="D1081" s="647" t="s">
        <v>8614</v>
      </c>
      <c r="E1081" s="647" t="s">
        <v>2707</v>
      </c>
      <c r="F1081" s="647">
        <v>1945</v>
      </c>
      <c r="G1081" s="647" t="s">
        <v>8615</v>
      </c>
      <c r="H1081" s="649"/>
      <c r="I1081" s="649"/>
      <c r="J1081" s="649"/>
      <c r="K1081" s="649"/>
      <c r="L1081" s="649"/>
      <c r="M1081" s="649"/>
      <c r="N1081" s="648" t="e">
        <v>#N/A</v>
      </c>
    </row>
    <row r="1082" spans="1:14" x14ac:dyDescent="0.35">
      <c r="A1082" s="647">
        <v>520007</v>
      </c>
      <c r="B1082" s="647" t="s">
        <v>8616</v>
      </c>
      <c r="C1082" s="647" t="s">
        <v>8617</v>
      </c>
      <c r="D1082" s="647" t="s">
        <v>2424</v>
      </c>
      <c r="E1082" s="647" t="s">
        <v>2707</v>
      </c>
      <c r="F1082" s="647">
        <v>1108</v>
      </c>
      <c r="G1082" s="647" t="s">
        <v>8618</v>
      </c>
      <c r="H1082" s="649"/>
      <c r="I1082" s="649"/>
      <c r="J1082" s="649"/>
      <c r="K1082" s="647" t="s">
        <v>3329</v>
      </c>
      <c r="L1082" s="647" t="s">
        <v>8619</v>
      </c>
      <c r="M1082" s="647" t="s">
        <v>4078</v>
      </c>
      <c r="N1082" s="648" t="e">
        <v>#N/A</v>
      </c>
    </row>
    <row r="1083" spans="1:14" x14ac:dyDescent="0.35">
      <c r="A1083" s="647">
        <v>520008</v>
      </c>
      <c r="B1083" s="647" t="s">
        <v>8620</v>
      </c>
      <c r="C1083" s="647" t="s">
        <v>8621</v>
      </c>
      <c r="D1083" s="647" t="s">
        <v>8622</v>
      </c>
      <c r="E1083" s="647" t="s">
        <v>2707</v>
      </c>
      <c r="F1083" s="647">
        <v>1581</v>
      </c>
      <c r="G1083" s="647" t="s">
        <v>8623</v>
      </c>
      <c r="H1083" s="649"/>
      <c r="I1083" s="649"/>
      <c r="J1083" s="649"/>
      <c r="K1083" s="647" t="s">
        <v>3860</v>
      </c>
      <c r="L1083" s="647" t="s">
        <v>8624</v>
      </c>
      <c r="M1083" s="647" t="s">
        <v>4078</v>
      </c>
      <c r="N1083" s="648" t="e">
        <v>#N/A</v>
      </c>
    </row>
    <row r="1084" spans="1:14" x14ac:dyDescent="0.35">
      <c r="A1084" s="647">
        <v>520009</v>
      </c>
      <c r="B1084" s="647" t="s">
        <v>2765</v>
      </c>
      <c r="C1084" s="647" t="s">
        <v>8625</v>
      </c>
      <c r="D1084" s="647" t="s">
        <v>2765</v>
      </c>
      <c r="E1084" s="647" t="s">
        <v>2707</v>
      </c>
      <c r="F1084" s="647">
        <v>1609</v>
      </c>
      <c r="G1084" s="647" t="s">
        <v>8626</v>
      </c>
      <c r="H1084" s="649"/>
      <c r="I1084" s="649"/>
      <c r="J1084" s="649"/>
      <c r="K1084" s="647" t="s">
        <v>4802</v>
      </c>
      <c r="L1084" s="647" t="s">
        <v>8627</v>
      </c>
      <c r="M1084" s="647" t="s">
        <v>8628</v>
      </c>
      <c r="N1084" s="648" t="e">
        <v>#N/A</v>
      </c>
    </row>
    <row r="1085" spans="1:14" x14ac:dyDescent="0.35">
      <c r="A1085" s="647">
        <v>521001</v>
      </c>
      <c r="B1085" s="647" t="s">
        <v>8629</v>
      </c>
      <c r="C1085" s="647" t="s">
        <v>8630</v>
      </c>
      <c r="D1085" s="647" t="s">
        <v>2770</v>
      </c>
      <c r="E1085" s="647" t="s">
        <v>2768</v>
      </c>
      <c r="F1085" s="647">
        <v>48108</v>
      </c>
      <c r="G1085" s="647" t="s">
        <v>8631</v>
      </c>
      <c r="H1085" s="649"/>
      <c r="I1085" s="649"/>
      <c r="J1085" s="649"/>
      <c r="K1085" s="647" t="s">
        <v>6841</v>
      </c>
      <c r="L1085" s="647" t="s">
        <v>8632</v>
      </c>
      <c r="M1085" s="647" t="s">
        <v>4078</v>
      </c>
      <c r="N1085" s="648" t="e">
        <v>#N/A</v>
      </c>
    </row>
    <row r="1086" spans="1:14" x14ac:dyDescent="0.35">
      <c r="A1086" s="647">
        <v>521002</v>
      </c>
      <c r="B1086" s="647" t="s">
        <v>8633</v>
      </c>
      <c r="C1086" s="647" t="s">
        <v>8634</v>
      </c>
      <c r="D1086" s="647" t="s">
        <v>8635</v>
      </c>
      <c r="E1086" s="647" t="s">
        <v>2768</v>
      </c>
      <c r="F1086" s="647">
        <v>48322</v>
      </c>
      <c r="G1086" s="647" t="s">
        <v>8636</v>
      </c>
      <c r="H1086" s="647" t="s">
        <v>3924</v>
      </c>
      <c r="I1086" s="647" t="s">
        <v>4083</v>
      </c>
      <c r="J1086" s="647"/>
      <c r="K1086" s="647" t="s">
        <v>7496</v>
      </c>
      <c r="L1086" s="647" t="s">
        <v>8637</v>
      </c>
      <c r="M1086" s="647" t="s">
        <v>4078</v>
      </c>
      <c r="N1086" s="648">
        <v>40148</v>
      </c>
    </row>
    <row r="1087" spans="1:14" x14ac:dyDescent="0.35">
      <c r="A1087" s="647">
        <v>521003</v>
      </c>
      <c r="B1087" s="647" t="s">
        <v>8638</v>
      </c>
      <c r="C1087" s="647" t="s">
        <v>8639</v>
      </c>
      <c r="D1087" s="647" t="s">
        <v>2335</v>
      </c>
      <c r="E1087" s="647" t="s">
        <v>2768</v>
      </c>
      <c r="F1087" s="647">
        <v>48327</v>
      </c>
      <c r="G1087" s="647" t="s">
        <v>8640</v>
      </c>
      <c r="H1087" s="649"/>
      <c r="I1087" s="649"/>
      <c r="J1087" s="649"/>
      <c r="K1087" s="647" t="s">
        <v>3860</v>
      </c>
      <c r="L1087" s="647" t="s">
        <v>8641</v>
      </c>
      <c r="M1087" s="647" t="s">
        <v>4078</v>
      </c>
      <c r="N1087" s="648" t="e">
        <v>#N/A</v>
      </c>
    </row>
    <row r="1088" spans="1:14" x14ac:dyDescent="0.35">
      <c r="A1088" s="647">
        <v>521204</v>
      </c>
      <c r="B1088" s="647" t="s">
        <v>8642</v>
      </c>
      <c r="C1088" s="647" t="s">
        <v>8643</v>
      </c>
      <c r="D1088" s="647" t="s">
        <v>8644</v>
      </c>
      <c r="E1088" s="647" t="s">
        <v>2768</v>
      </c>
      <c r="F1088" s="647">
        <v>48301</v>
      </c>
      <c r="G1088" s="647" t="s">
        <v>8645</v>
      </c>
      <c r="H1088" s="649"/>
      <c r="I1088" s="649"/>
      <c r="J1088" s="649"/>
      <c r="K1088" s="647" t="s">
        <v>8646</v>
      </c>
      <c r="L1088" s="647" t="s">
        <v>8647</v>
      </c>
      <c r="M1088" s="647" t="s">
        <v>8648</v>
      </c>
      <c r="N1088" s="648" t="e">
        <v>#N/A</v>
      </c>
    </row>
    <row r="1089" spans="1:14" x14ac:dyDescent="0.35">
      <c r="A1089" s="647">
        <v>522001</v>
      </c>
      <c r="B1089" s="647" t="s">
        <v>8649</v>
      </c>
      <c r="C1089" s="647" t="s">
        <v>8650</v>
      </c>
      <c r="D1089" s="647" t="s">
        <v>8651</v>
      </c>
      <c r="E1089" s="647" t="s">
        <v>2819</v>
      </c>
      <c r="F1089" s="647">
        <v>55416</v>
      </c>
      <c r="G1089" s="647" t="s">
        <v>8652</v>
      </c>
      <c r="H1089" s="647" t="s">
        <v>3924</v>
      </c>
      <c r="I1089" s="647" t="s">
        <v>3995</v>
      </c>
      <c r="J1089" s="647"/>
      <c r="K1089" s="647" t="s">
        <v>8653</v>
      </c>
      <c r="L1089" s="647" t="s">
        <v>8654</v>
      </c>
      <c r="M1089" s="647" t="s">
        <v>4078</v>
      </c>
      <c r="N1089" s="648">
        <v>40422</v>
      </c>
    </row>
    <row r="1090" spans="1:14" x14ac:dyDescent="0.35">
      <c r="A1090" s="647">
        <v>522002</v>
      </c>
      <c r="B1090" s="647" t="s">
        <v>8655</v>
      </c>
      <c r="C1090" s="647" t="s">
        <v>8656</v>
      </c>
      <c r="D1090" s="647" t="s">
        <v>8657</v>
      </c>
      <c r="E1090" s="647" t="s">
        <v>2819</v>
      </c>
      <c r="F1090" s="647">
        <v>55116</v>
      </c>
      <c r="G1090" s="647" t="s">
        <v>8658</v>
      </c>
      <c r="H1090" s="647" t="s">
        <v>3924</v>
      </c>
      <c r="I1090" s="647" t="s">
        <v>4175</v>
      </c>
      <c r="J1090" s="647"/>
      <c r="K1090" s="647" t="s">
        <v>2265</v>
      </c>
      <c r="L1090" s="647" t="s">
        <v>8659</v>
      </c>
      <c r="M1090" s="647" t="s">
        <v>4078</v>
      </c>
      <c r="N1090" s="648">
        <v>40478</v>
      </c>
    </row>
    <row r="1091" spans="1:14" x14ac:dyDescent="0.35">
      <c r="A1091" s="647">
        <v>524001</v>
      </c>
      <c r="B1091" s="647" t="s">
        <v>8660</v>
      </c>
      <c r="C1091" s="647" t="s">
        <v>8661</v>
      </c>
      <c r="D1091" s="647" t="s">
        <v>2899</v>
      </c>
      <c r="E1091" s="647" t="s">
        <v>2868</v>
      </c>
      <c r="F1091" s="647">
        <v>63146</v>
      </c>
      <c r="G1091" s="647" t="s">
        <v>8662</v>
      </c>
      <c r="H1091" s="649"/>
      <c r="I1091" s="649"/>
      <c r="J1091" s="649"/>
      <c r="K1091" s="647" t="s">
        <v>8663</v>
      </c>
      <c r="L1091" s="647" t="s">
        <v>8664</v>
      </c>
      <c r="M1091" s="647" t="s">
        <v>4078</v>
      </c>
      <c r="N1091" s="648" t="e">
        <v>#N/A</v>
      </c>
    </row>
    <row r="1092" spans="1:14" x14ac:dyDescent="0.35">
      <c r="A1092" s="647">
        <v>524002</v>
      </c>
      <c r="B1092" s="647" t="s">
        <v>8665</v>
      </c>
      <c r="C1092" s="647" t="s">
        <v>8661</v>
      </c>
      <c r="D1092" s="647" t="s">
        <v>2899</v>
      </c>
      <c r="E1092" s="647" t="s">
        <v>2868</v>
      </c>
      <c r="F1092" s="647">
        <v>63146</v>
      </c>
      <c r="G1092" s="647" t="s">
        <v>8662</v>
      </c>
      <c r="H1092" s="649"/>
      <c r="I1092" s="649"/>
      <c r="J1092" s="649"/>
      <c r="K1092" s="647" t="s">
        <v>2736</v>
      </c>
      <c r="L1092" s="647" t="s">
        <v>8666</v>
      </c>
      <c r="M1092" s="649"/>
      <c r="N1092" s="648" t="e">
        <v>#N/A</v>
      </c>
    </row>
    <row r="1093" spans="1:14" x14ac:dyDescent="0.35">
      <c r="A1093" s="647">
        <v>524003</v>
      </c>
      <c r="B1093" s="647" t="s">
        <v>8667</v>
      </c>
      <c r="C1093" s="647" t="s">
        <v>8668</v>
      </c>
      <c r="D1093" s="647" t="s">
        <v>8669</v>
      </c>
      <c r="E1093" s="647" t="s">
        <v>2868</v>
      </c>
      <c r="F1093" s="647">
        <v>63005</v>
      </c>
      <c r="G1093" s="647" t="s">
        <v>8662</v>
      </c>
      <c r="H1093" s="649"/>
      <c r="I1093" s="649"/>
      <c r="J1093" s="649"/>
      <c r="K1093" s="649"/>
      <c r="L1093" s="649"/>
      <c r="M1093" s="649"/>
      <c r="N1093" s="648" t="e">
        <v>#N/A</v>
      </c>
    </row>
    <row r="1094" spans="1:14" x14ac:dyDescent="0.35">
      <c r="A1094" s="647">
        <v>525001</v>
      </c>
      <c r="B1094" s="647" t="s">
        <v>8670</v>
      </c>
      <c r="C1094" s="647" t="s">
        <v>8671</v>
      </c>
      <c r="D1094" s="647" t="s">
        <v>2944</v>
      </c>
      <c r="E1094" s="647" t="s">
        <v>2578</v>
      </c>
      <c r="F1094" s="647">
        <v>68154</v>
      </c>
      <c r="G1094" s="647" t="s">
        <v>8672</v>
      </c>
      <c r="H1094" s="649"/>
      <c r="I1094" s="649"/>
      <c r="J1094" s="649"/>
      <c r="K1094" s="649"/>
      <c r="L1094" s="649"/>
      <c r="M1094" s="649"/>
      <c r="N1094" s="648" t="e">
        <v>#N/A</v>
      </c>
    </row>
    <row r="1095" spans="1:14" x14ac:dyDescent="0.35">
      <c r="A1095" s="647">
        <v>525101</v>
      </c>
      <c r="B1095" s="647" t="s">
        <v>8673</v>
      </c>
      <c r="C1095" s="647" t="s">
        <v>8674</v>
      </c>
      <c r="D1095" s="647" t="s">
        <v>2944</v>
      </c>
      <c r="E1095" s="647" t="s">
        <v>2578</v>
      </c>
      <c r="F1095" s="647">
        <v>68154</v>
      </c>
      <c r="G1095" s="649"/>
      <c r="H1095" s="647" t="s">
        <v>3924</v>
      </c>
      <c r="I1095" s="647" t="s">
        <v>4175</v>
      </c>
      <c r="J1095" s="647"/>
      <c r="K1095" s="647" t="s">
        <v>6455</v>
      </c>
      <c r="L1095" s="647" t="s">
        <v>8675</v>
      </c>
      <c r="M1095" s="647" t="s">
        <v>4078</v>
      </c>
      <c r="N1095" s="648">
        <v>40360</v>
      </c>
    </row>
    <row r="1096" spans="1:14" x14ac:dyDescent="0.35">
      <c r="A1096" s="647">
        <v>527001</v>
      </c>
      <c r="B1096" s="647" t="s">
        <v>8676</v>
      </c>
      <c r="C1096" s="647" t="s">
        <v>8677</v>
      </c>
      <c r="D1096" s="647" t="s">
        <v>2948</v>
      </c>
      <c r="E1096" s="647" t="s">
        <v>2949</v>
      </c>
      <c r="F1096" s="647">
        <v>89119</v>
      </c>
      <c r="G1096" s="647" t="s">
        <v>8678</v>
      </c>
      <c r="H1096" s="649"/>
      <c r="I1096" s="649"/>
      <c r="J1096" s="649"/>
      <c r="K1096" s="647" t="s">
        <v>6455</v>
      </c>
      <c r="L1096" s="647" t="s">
        <v>8675</v>
      </c>
      <c r="M1096" s="647" t="s">
        <v>8679</v>
      </c>
      <c r="N1096" s="648" t="e">
        <v>#N/A</v>
      </c>
    </row>
    <row r="1097" spans="1:14" x14ac:dyDescent="0.35">
      <c r="A1097" s="647">
        <v>529001</v>
      </c>
      <c r="B1097" s="647" t="s">
        <v>8680</v>
      </c>
      <c r="C1097" s="647" t="s">
        <v>8681</v>
      </c>
      <c r="D1097" s="647" t="s">
        <v>2981</v>
      </c>
      <c r="E1097" s="647" t="s">
        <v>2973</v>
      </c>
      <c r="F1097" s="647">
        <v>7076</v>
      </c>
      <c r="G1097" s="647" t="s">
        <v>8682</v>
      </c>
      <c r="H1097" s="647" t="s">
        <v>3924</v>
      </c>
      <c r="I1097" s="647" t="s">
        <v>4175</v>
      </c>
      <c r="J1097" s="647"/>
      <c r="K1097" s="647" t="s">
        <v>3865</v>
      </c>
      <c r="L1097" s="647" t="s">
        <v>8683</v>
      </c>
      <c r="M1097" s="647" t="s">
        <v>4078</v>
      </c>
      <c r="N1097" s="648">
        <v>40179</v>
      </c>
    </row>
    <row r="1098" spans="1:14" x14ac:dyDescent="0.35">
      <c r="A1098" s="647">
        <v>529002</v>
      </c>
      <c r="B1098" s="647" t="s">
        <v>8684</v>
      </c>
      <c r="C1098" s="647" t="s">
        <v>8685</v>
      </c>
      <c r="D1098" s="647" t="s">
        <v>2972</v>
      </c>
      <c r="E1098" s="647" t="s">
        <v>2973</v>
      </c>
      <c r="F1098" s="647">
        <v>7002</v>
      </c>
      <c r="G1098" s="649"/>
      <c r="H1098" s="649"/>
      <c r="I1098" s="649"/>
      <c r="J1098" s="649"/>
      <c r="K1098" s="647" t="s">
        <v>8686</v>
      </c>
      <c r="L1098" s="647" t="s">
        <v>8687</v>
      </c>
      <c r="M1098" s="647" t="s">
        <v>4078</v>
      </c>
      <c r="N1098" s="648" t="e">
        <v>#N/A</v>
      </c>
    </row>
    <row r="1099" spans="1:14" x14ac:dyDescent="0.35">
      <c r="A1099" s="647">
        <v>529003</v>
      </c>
      <c r="B1099" s="647" t="s">
        <v>8688</v>
      </c>
      <c r="C1099" s="647" t="s">
        <v>8689</v>
      </c>
      <c r="D1099" s="647" t="s">
        <v>8690</v>
      </c>
      <c r="E1099" s="647" t="s">
        <v>2973</v>
      </c>
      <c r="F1099" s="647">
        <v>8807</v>
      </c>
      <c r="G1099" s="647" t="s">
        <v>8691</v>
      </c>
      <c r="H1099" s="647" t="s">
        <v>3924</v>
      </c>
      <c r="I1099" s="647" t="s">
        <v>4175</v>
      </c>
      <c r="J1099" s="647"/>
      <c r="K1099" s="647" t="s">
        <v>5014</v>
      </c>
      <c r="L1099" s="647" t="s">
        <v>8692</v>
      </c>
      <c r="M1099" s="647" t="s">
        <v>4078</v>
      </c>
      <c r="N1099" s="648">
        <v>40390</v>
      </c>
    </row>
    <row r="1100" spans="1:14" x14ac:dyDescent="0.35">
      <c r="A1100" s="647">
        <v>529004</v>
      </c>
      <c r="B1100" s="647" t="s">
        <v>8693</v>
      </c>
      <c r="C1100" s="647" t="s">
        <v>8694</v>
      </c>
      <c r="D1100" s="647" t="s">
        <v>6136</v>
      </c>
      <c r="E1100" s="647" t="s">
        <v>2973</v>
      </c>
      <c r="F1100" s="647">
        <v>8003</v>
      </c>
      <c r="G1100" s="647" t="s">
        <v>8695</v>
      </c>
      <c r="H1100" s="649"/>
      <c r="I1100" s="649"/>
      <c r="J1100" s="649"/>
      <c r="K1100" s="647" t="s">
        <v>4782</v>
      </c>
      <c r="L1100" s="647" t="s">
        <v>8696</v>
      </c>
      <c r="M1100" s="647" t="s">
        <v>4078</v>
      </c>
      <c r="N1100" s="648" t="e">
        <v>#N/A</v>
      </c>
    </row>
    <row r="1101" spans="1:14" x14ac:dyDescent="0.35">
      <c r="A1101" s="647">
        <v>529005</v>
      </c>
      <c r="B1101" s="647" t="s">
        <v>8697</v>
      </c>
      <c r="C1101" s="647" t="s">
        <v>8698</v>
      </c>
      <c r="D1101" s="647" t="s">
        <v>8699</v>
      </c>
      <c r="E1101" s="647" t="s">
        <v>2973</v>
      </c>
      <c r="F1101" s="647">
        <v>7012</v>
      </c>
      <c r="G1101" s="647" t="s">
        <v>8700</v>
      </c>
      <c r="H1101" s="649"/>
      <c r="I1101" s="649"/>
      <c r="J1101" s="649"/>
      <c r="K1101" s="647" t="s">
        <v>8701</v>
      </c>
      <c r="L1101" s="647" t="s">
        <v>8267</v>
      </c>
      <c r="M1101" s="647" t="s">
        <v>4078</v>
      </c>
      <c r="N1101" s="648" t="e">
        <v>#N/A</v>
      </c>
    </row>
    <row r="1102" spans="1:14" x14ac:dyDescent="0.35">
      <c r="A1102" s="647">
        <v>529006</v>
      </c>
      <c r="B1102" s="647" t="s">
        <v>8702</v>
      </c>
      <c r="C1102" s="647" t="s">
        <v>8703</v>
      </c>
      <c r="D1102" s="647" t="s">
        <v>8704</v>
      </c>
      <c r="E1102" s="647" t="s">
        <v>2973</v>
      </c>
      <c r="F1102" s="647">
        <v>7723</v>
      </c>
      <c r="G1102" s="647" t="s">
        <v>8705</v>
      </c>
      <c r="H1102" s="647" t="s">
        <v>3924</v>
      </c>
      <c r="I1102" s="647" t="s">
        <v>4175</v>
      </c>
      <c r="J1102" s="647"/>
      <c r="K1102" s="647" t="s">
        <v>4088</v>
      </c>
      <c r="L1102" s="647" t="s">
        <v>8706</v>
      </c>
      <c r="M1102" s="647" t="s">
        <v>8206</v>
      </c>
      <c r="N1102" s="648">
        <v>40210</v>
      </c>
    </row>
    <row r="1103" spans="1:14" x14ac:dyDescent="0.35">
      <c r="A1103" s="647">
        <v>529007</v>
      </c>
      <c r="B1103" s="647" t="s">
        <v>8707</v>
      </c>
      <c r="C1103" s="647" t="s">
        <v>8708</v>
      </c>
      <c r="D1103" s="647" t="s">
        <v>8709</v>
      </c>
      <c r="E1103" s="647" t="s">
        <v>2973</v>
      </c>
      <c r="F1103" s="647">
        <v>7004</v>
      </c>
      <c r="G1103" s="647" t="s">
        <v>8710</v>
      </c>
      <c r="H1103" s="649"/>
      <c r="I1103" s="649"/>
      <c r="J1103" s="649"/>
      <c r="K1103" s="647" t="s">
        <v>5182</v>
      </c>
      <c r="L1103" s="647" t="s">
        <v>8711</v>
      </c>
      <c r="M1103" s="647" t="s">
        <v>4078</v>
      </c>
      <c r="N1103" s="648" t="e">
        <v>#N/A</v>
      </c>
    </row>
    <row r="1104" spans="1:14" x14ac:dyDescent="0.35">
      <c r="A1104" s="647">
        <v>529008</v>
      </c>
      <c r="B1104" s="647" t="s">
        <v>8712</v>
      </c>
      <c r="C1104" s="647" t="s">
        <v>8713</v>
      </c>
      <c r="D1104" s="647" t="s">
        <v>8714</v>
      </c>
      <c r="E1104" s="647" t="s">
        <v>3358</v>
      </c>
      <c r="F1104" s="647">
        <v>18337</v>
      </c>
      <c r="G1104" s="647" t="s">
        <v>8715</v>
      </c>
      <c r="H1104" s="649"/>
      <c r="I1104" s="649"/>
      <c r="J1104" s="649"/>
      <c r="K1104" s="647" t="s">
        <v>8716</v>
      </c>
      <c r="L1104" s="647" t="s">
        <v>4850</v>
      </c>
      <c r="M1104" s="647" t="s">
        <v>8206</v>
      </c>
      <c r="N1104" s="648" t="e">
        <v>#N/A</v>
      </c>
    </row>
    <row r="1105" spans="1:14" x14ac:dyDescent="0.35">
      <c r="A1105" s="647">
        <v>529012</v>
      </c>
      <c r="B1105" s="647" t="s">
        <v>8717</v>
      </c>
      <c r="C1105" s="647" t="s">
        <v>8718</v>
      </c>
      <c r="D1105" s="647" t="s">
        <v>8719</v>
      </c>
      <c r="E1105" s="647" t="s">
        <v>3358</v>
      </c>
      <c r="F1105" s="647">
        <v>18437</v>
      </c>
      <c r="G1105" s="647" t="s">
        <v>8720</v>
      </c>
      <c r="H1105" s="649"/>
      <c r="I1105" s="649"/>
      <c r="J1105" s="649"/>
      <c r="K1105" s="649"/>
      <c r="L1105" s="649"/>
      <c r="M1105" s="649"/>
      <c r="N1105" s="648" t="e">
        <v>#N/A</v>
      </c>
    </row>
    <row r="1106" spans="1:14" x14ac:dyDescent="0.35">
      <c r="A1106" s="647">
        <v>529015</v>
      </c>
      <c r="B1106" s="647" t="s">
        <v>8721</v>
      </c>
      <c r="C1106" s="647" t="s">
        <v>8722</v>
      </c>
      <c r="D1106" s="647" t="s">
        <v>8723</v>
      </c>
      <c r="E1106" s="647" t="s">
        <v>2973</v>
      </c>
      <c r="F1106" s="647">
        <v>7726</v>
      </c>
      <c r="G1106" s="647" t="s">
        <v>8724</v>
      </c>
      <c r="H1106" s="647" t="s">
        <v>3924</v>
      </c>
      <c r="I1106" s="647" t="s">
        <v>4083</v>
      </c>
      <c r="J1106" s="647"/>
      <c r="K1106" s="649"/>
      <c r="L1106" s="649"/>
      <c r="M1106" s="649"/>
      <c r="N1106" s="648" t="e">
        <v>#N/A</v>
      </c>
    </row>
    <row r="1107" spans="1:14" x14ac:dyDescent="0.35">
      <c r="A1107" s="647">
        <v>529016</v>
      </c>
      <c r="B1107" s="647" t="s">
        <v>8725</v>
      </c>
      <c r="C1107" s="647" t="s">
        <v>8726</v>
      </c>
      <c r="D1107" s="647" t="s">
        <v>8727</v>
      </c>
      <c r="E1107" s="647" t="s">
        <v>2973</v>
      </c>
      <c r="F1107" s="647">
        <v>8402</v>
      </c>
      <c r="G1107" s="647" t="s">
        <v>8728</v>
      </c>
      <c r="H1107" s="647" t="s">
        <v>3924</v>
      </c>
      <c r="I1107" s="647" t="s">
        <v>4175</v>
      </c>
      <c r="J1107" s="647"/>
      <c r="K1107" s="647" t="s">
        <v>8729</v>
      </c>
      <c r="L1107" s="647" t="s">
        <v>8730</v>
      </c>
      <c r="M1107" s="647" t="s">
        <v>8731</v>
      </c>
      <c r="N1107" s="648">
        <v>40341</v>
      </c>
    </row>
    <row r="1108" spans="1:14" x14ac:dyDescent="0.35">
      <c r="A1108" s="647">
        <v>529018</v>
      </c>
      <c r="B1108" s="647" t="s">
        <v>8732</v>
      </c>
      <c r="C1108" s="647" t="s">
        <v>8733</v>
      </c>
      <c r="D1108" s="647" t="s">
        <v>8734</v>
      </c>
      <c r="E1108" s="647" t="s">
        <v>2973</v>
      </c>
      <c r="F1108" s="647">
        <v>7670</v>
      </c>
      <c r="G1108" s="647" t="s">
        <v>8735</v>
      </c>
      <c r="H1108" s="649"/>
      <c r="I1108" s="649"/>
      <c r="J1108" s="649"/>
      <c r="K1108" s="647" t="s">
        <v>5241</v>
      </c>
      <c r="L1108" s="647" t="s">
        <v>8736</v>
      </c>
      <c r="M1108" s="647" t="s">
        <v>4078</v>
      </c>
      <c r="N1108" s="648" t="e">
        <v>#N/A</v>
      </c>
    </row>
    <row r="1109" spans="1:14" x14ac:dyDescent="0.35">
      <c r="A1109" s="647">
        <v>529019</v>
      </c>
      <c r="B1109" s="647" t="s">
        <v>8737</v>
      </c>
      <c r="C1109" s="647" t="s">
        <v>8738</v>
      </c>
      <c r="D1109" s="647" t="s">
        <v>8739</v>
      </c>
      <c r="E1109" s="647" t="s">
        <v>2973</v>
      </c>
      <c r="F1109" s="647">
        <v>8648</v>
      </c>
      <c r="G1109" s="647" t="s">
        <v>8740</v>
      </c>
      <c r="H1109" s="647" t="s">
        <v>3924</v>
      </c>
      <c r="I1109" s="647" t="s">
        <v>4083</v>
      </c>
      <c r="J1109" s="647"/>
      <c r="K1109" s="647" t="s">
        <v>8741</v>
      </c>
      <c r="L1109" s="647" t="s">
        <v>8742</v>
      </c>
      <c r="M1109" s="647" t="s">
        <v>4078</v>
      </c>
      <c r="N1109" s="648" t="e">
        <v>#N/A</v>
      </c>
    </row>
    <row r="1110" spans="1:14" x14ac:dyDescent="0.35">
      <c r="A1110" s="647">
        <v>529020</v>
      </c>
      <c r="B1110" s="647" t="s">
        <v>8743</v>
      </c>
      <c r="C1110" s="647" t="s">
        <v>8744</v>
      </c>
      <c r="D1110" s="647" t="s">
        <v>8745</v>
      </c>
      <c r="E1110" s="647" t="s">
        <v>2973</v>
      </c>
      <c r="F1110" s="647">
        <v>7676</v>
      </c>
      <c r="G1110" s="647" t="s">
        <v>8746</v>
      </c>
      <c r="H1110" s="649"/>
      <c r="I1110" s="649"/>
      <c r="J1110" s="649"/>
      <c r="K1110" s="647" t="s">
        <v>5832</v>
      </c>
      <c r="L1110" s="647" t="s">
        <v>4302</v>
      </c>
      <c r="M1110" s="647" t="s">
        <v>3826</v>
      </c>
      <c r="N1110" s="648" t="e">
        <v>#N/A</v>
      </c>
    </row>
    <row r="1111" spans="1:14" x14ac:dyDescent="0.35">
      <c r="A1111" s="647">
        <v>529021</v>
      </c>
      <c r="B1111" s="647" t="s">
        <v>8747</v>
      </c>
      <c r="C1111" s="647" t="s">
        <v>8748</v>
      </c>
      <c r="D1111" s="647" t="s">
        <v>5546</v>
      </c>
      <c r="E1111" s="647" t="s">
        <v>2973</v>
      </c>
      <c r="F1111" s="647">
        <v>7470</v>
      </c>
      <c r="G1111" s="647" t="s">
        <v>8749</v>
      </c>
      <c r="H1111" s="647" t="s">
        <v>3924</v>
      </c>
      <c r="I1111" s="647" t="s">
        <v>4175</v>
      </c>
      <c r="J1111" s="647"/>
      <c r="K1111" s="647" t="s">
        <v>5706</v>
      </c>
      <c r="L1111" s="647" t="s">
        <v>8750</v>
      </c>
      <c r="M1111" s="647" t="s">
        <v>4078</v>
      </c>
      <c r="N1111" s="648">
        <v>40449</v>
      </c>
    </row>
    <row r="1112" spans="1:14" x14ac:dyDescent="0.35">
      <c r="A1112" s="647">
        <v>529022</v>
      </c>
      <c r="B1112" s="647" t="s">
        <v>8751</v>
      </c>
      <c r="C1112" s="647" t="s">
        <v>8752</v>
      </c>
      <c r="D1112" s="647" t="s">
        <v>8753</v>
      </c>
      <c r="E1112" s="647" t="s">
        <v>2973</v>
      </c>
      <c r="F1112" s="647">
        <v>7052</v>
      </c>
      <c r="G1112" s="647" t="s">
        <v>8754</v>
      </c>
      <c r="H1112" s="649"/>
      <c r="I1112" s="649"/>
      <c r="J1112" s="649"/>
      <c r="K1112" s="647" t="s">
        <v>5301</v>
      </c>
      <c r="L1112" s="647" t="s">
        <v>6753</v>
      </c>
      <c r="M1112" s="647" t="s">
        <v>4078</v>
      </c>
      <c r="N1112" s="648" t="e">
        <v>#N/A</v>
      </c>
    </row>
    <row r="1113" spans="1:14" x14ac:dyDescent="0.35">
      <c r="A1113" s="647">
        <v>529023</v>
      </c>
      <c r="B1113" s="647" t="s">
        <v>8755</v>
      </c>
      <c r="C1113" s="647" t="s">
        <v>8756</v>
      </c>
      <c r="D1113" s="647" t="s">
        <v>8757</v>
      </c>
      <c r="E1113" s="647" t="s">
        <v>2973</v>
      </c>
      <c r="F1113" s="647">
        <v>7981</v>
      </c>
      <c r="G1113" s="647" t="s">
        <v>8758</v>
      </c>
      <c r="H1113" s="649"/>
      <c r="I1113" s="649"/>
      <c r="J1113" s="649"/>
      <c r="K1113" s="649"/>
      <c r="L1113" s="649"/>
      <c r="M1113" s="649"/>
      <c r="N1113" s="648" t="e">
        <v>#N/A</v>
      </c>
    </row>
    <row r="1114" spans="1:14" x14ac:dyDescent="0.35">
      <c r="A1114" s="647">
        <v>529024</v>
      </c>
      <c r="B1114" s="647" t="s">
        <v>8759</v>
      </c>
      <c r="C1114" s="647" t="s">
        <v>8760</v>
      </c>
      <c r="D1114" s="647" t="s">
        <v>8761</v>
      </c>
      <c r="E1114" s="647" t="s">
        <v>2973</v>
      </c>
      <c r="F1114" s="647">
        <v>8904</v>
      </c>
      <c r="G1114" s="647" t="s">
        <v>8762</v>
      </c>
      <c r="H1114" s="647" t="s">
        <v>3924</v>
      </c>
      <c r="I1114" s="647" t="s">
        <v>4175</v>
      </c>
      <c r="J1114" s="647"/>
      <c r="K1114" s="649"/>
      <c r="L1114" s="649"/>
      <c r="M1114" s="649"/>
      <c r="N1114" s="648" t="e">
        <v>#N/A</v>
      </c>
    </row>
    <row r="1115" spans="1:14" x14ac:dyDescent="0.35">
      <c r="A1115" s="647">
        <v>529025</v>
      </c>
      <c r="B1115" s="647" t="s">
        <v>8763</v>
      </c>
      <c r="C1115" s="647" t="s">
        <v>8738</v>
      </c>
      <c r="D1115" s="647" t="s">
        <v>8739</v>
      </c>
      <c r="E1115" s="647" t="s">
        <v>2973</v>
      </c>
      <c r="F1115" s="647">
        <v>8648</v>
      </c>
      <c r="G1115" s="647" t="s">
        <v>8764</v>
      </c>
      <c r="H1115" s="649"/>
      <c r="I1115" s="649"/>
      <c r="J1115" s="649"/>
      <c r="K1115" s="649"/>
      <c r="L1115" s="649"/>
      <c r="M1115" s="649"/>
      <c r="N1115" s="648" t="e">
        <v>#N/A</v>
      </c>
    </row>
    <row r="1116" spans="1:14" x14ac:dyDescent="0.35">
      <c r="A1116" s="647">
        <v>529026</v>
      </c>
      <c r="B1116" s="647" t="s">
        <v>8765</v>
      </c>
      <c r="C1116" s="647" t="s">
        <v>8766</v>
      </c>
      <c r="D1116" s="647" t="s">
        <v>8767</v>
      </c>
      <c r="E1116" s="647" t="s">
        <v>2973</v>
      </c>
      <c r="F1116" s="647">
        <v>8820</v>
      </c>
      <c r="G1116" s="647" t="s">
        <v>8768</v>
      </c>
      <c r="H1116" s="649"/>
      <c r="I1116" s="649"/>
      <c r="J1116" s="649"/>
      <c r="K1116" s="649"/>
      <c r="L1116" s="649"/>
      <c r="M1116" s="649"/>
      <c r="N1116" s="648" t="e">
        <v>#N/A</v>
      </c>
    </row>
    <row r="1117" spans="1:14" x14ac:dyDescent="0.35">
      <c r="A1117" s="647">
        <v>529027</v>
      </c>
      <c r="B1117" s="647" t="s">
        <v>8769</v>
      </c>
      <c r="C1117" s="647" t="s">
        <v>8752</v>
      </c>
      <c r="D1117" s="647" t="s">
        <v>8753</v>
      </c>
      <c r="E1117" s="647" t="s">
        <v>2973</v>
      </c>
      <c r="F1117" s="647">
        <v>7052</v>
      </c>
      <c r="G1117" s="647" t="s">
        <v>8770</v>
      </c>
      <c r="H1117" s="649"/>
      <c r="I1117" s="649"/>
      <c r="J1117" s="649"/>
      <c r="K1117" s="647" t="s">
        <v>8771</v>
      </c>
      <c r="L1117" s="647" t="s">
        <v>8772</v>
      </c>
      <c r="M1117" s="649"/>
      <c r="N1117" s="648" t="e">
        <v>#N/A</v>
      </c>
    </row>
    <row r="1118" spans="1:14" x14ac:dyDescent="0.35">
      <c r="A1118" s="647">
        <v>529028</v>
      </c>
      <c r="B1118" s="647" t="s">
        <v>8773</v>
      </c>
      <c r="C1118" s="649"/>
      <c r="D1118" s="649"/>
      <c r="E1118" s="649"/>
      <c r="F1118" s="649"/>
      <c r="G1118" s="649"/>
      <c r="H1118" s="647" t="s">
        <v>3924</v>
      </c>
      <c r="I1118" s="647" t="s">
        <v>4083</v>
      </c>
      <c r="J1118" s="647"/>
      <c r="K1118" s="647" t="s">
        <v>4453</v>
      </c>
      <c r="L1118" s="647" t="s">
        <v>8774</v>
      </c>
      <c r="M1118" s="647" t="s">
        <v>4078</v>
      </c>
      <c r="N1118" s="648">
        <v>40401</v>
      </c>
    </row>
    <row r="1119" spans="1:14" x14ac:dyDescent="0.35">
      <c r="A1119" s="647">
        <v>529101</v>
      </c>
      <c r="B1119" s="647" t="s">
        <v>8775</v>
      </c>
      <c r="C1119" s="647" t="s">
        <v>8681</v>
      </c>
      <c r="D1119" s="647" t="s">
        <v>2981</v>
      </c>
      <c r="E1119" s="647" t="s">
        <v>2973</v>
      </c>
      <c r="F1119" s="647">
        <v>7076</v>
      </c>
      <c r="G1119" s="647" t="s">
        <v>8776</v>
      </c>
      <c r="H1119" s="647" t="s">
        <v>3924</v>
      </c>
      <c r="I1119" s="647" t="s">
        <v>4175</v>
      </c>
      <c r="J1119" s="647"/>
      <c r="K1119" s="649"/>
      <c r="L1119" s="649"/>
      <c r="M1119" s="649"/>
      <c r="N1119" s="648">
        <v>40263</v>
      </c>
    </row>
    <row r="1120" spans="1:14" x14ac:dyDescent="0.35">
      <c r="A1120" s="647">
        <v>529103</v>
      </c>
      <c r="B1120" s="647" t="s">
        <v>8777</v>
      </c>
      <c r="C1120" s="649"/>
      <c r="D1120" s="649"/>
      <c r="E1120" s="649"/>
      <c r="F1120" s="649"/>
      <c r="G1120" s="649"/>
      <c r="H1120" s="647" t="s">
        <v>3924</v>
      </c>
      <c r="I1120" s="647" t="s">
        <v>4175</v>
      </c>
      <c r="J1120" s="647"/>
      <c r="K1120" s="647" t="s">
        <v>8778</v>
      </c>
      <c r="L1120" s="647" t="s">
        <v>8779</v>
      </c>
      <c r="M1120" s="647" t="s">
        <v>8595</v>
      </c>
      <c r="N1120" s="648" t="e">
        <v>#N/A</v>
      </c>
    </row>
    <row r="1121" spans="1:14" x14ac:dyDescent="0.35">
      <c r="A1121" s="647">
        <v>530001</v>
      </c>
      <c r="B1121" s="647" t="s">
        <v>8780</v>
      </c>
      <c r="C1121" s="647" t="s">
        <v>8781</v>
      </c>
      <c r="D1121" s="647" t="s">
        <v>8782</v>
      </c>
      <c r="E1121" s="647" t="s">
        <v>3054</v>
      </c>
      <c r="F1121" s="647">
        <v>87109</v>
      </c>
      <c r="G1121" s="647" t="s">
        <v>8783</v>
      </c>
      <c r="H1121" s="647" t="s">
        <v>3924</v>
      </c>
      <c r="I1121" s="647" t="s">
        <v>3995</v>
      </c>
      <c r="J1121" s="647"/>
      <c r="K1121" s="649"/>
      <c r="L1121" s="649"/>
      <c r="M1121" s="649"/>
      <c r="N1121" s="648">
        <v>40359</v>
      </c>
    </row>
    <row r="1122" spans="1:14" x14ac:dyDescent="0.35">
      <c r="A1122" s="647">
        <v>531001</v>
      </c>
      <c r="B1122" s="647" t="s">
        <v>8784</v>
      </c>
      <c r="C1122" s="647" t="s">
        <v>8785</v>
      </c>
      <c r="D1122" s="647" t="s">
        <v>2842</v>
      </c>
      <c r="E1122" s="647" t="s">
        <v>3016</v>
      </c>
      <c r="F1122" s="647">
        <v>14618</v>
      </c>
      <c r="G1122" s="647" t="s">
        <v>8786</v>
      </c>
      <c r="H1122" s="647" t="s">
        <v>3924</v>
      </c>
      <c r="I1122" s="647" t="s">
        <v>4111</v>
      </c>
      <c r="J1122" s="647"/>
      <c r="K1122" s="647" t="s">
        <v>4106</v>
      </c>
      <c r="L1122" s="647" t="s">
        <v>5362</v>
      </c>
      <c r="M1122" s="647" t="s">
        <v>3826</v>
      </c>
      <c r="N1122" s="648">
        <v>40210</v>
      </c>
    </row>
    <row r="1123" spans="1:14" x14ac:dyDescent="0.35">
      <c r="A1123" s="647">
        <v>531002</v>
      </c>
      <c r="B1123" s="647" t="s">
        <v>8787</v>
      </c>
      <c r="C1123" s="647" t="s">
        <v>8788</v>
      </c>
      <c r="D1123" s="647" t="s">
        <v>8789</v>
      </c>
      <c r="E1123" s="647" t="s">
        <v>3016</v>
      </c>
      <c r="F1123" s="647">
        <v>14068</v>
      </c>
      <c r="G1123" s="647" t="s">
        <v>8790</v>
      </c>
      <c r="H1123" s="649"/>
      <c r="I1123" s="649"/>
      <c r="J1123" s="649"/>
      <c r="K1123" s="647" t="s">
        <v>7496</v>
      </c>
      <c r="L1123" s="647" t="s">
        <v>8791</v>
      </c>
      <c r="M1123" s="647" t="s">
        <v>4078</v>
      </c>
      <c r="N1123" s="648" t="e">
        <v>#N/A</v>
      </c>
    </row>
    <row r="1124" spans="1:14" x14ac:dyDescent="0.35">
      <c r="A1124" s="647">
        <v>531003</v>
      </c>
      <c r="B1124" s="647" t="s">
        <v>8792</v>
      </c>
      <c r="C1124" s="647" t="s">
        <v>8793</v>
      </c>
      <c r="D1124" s="647" t="s">
        <v>2284</v>
      </c>
      <c r="E1124" s="647" t="s">
        <v>3016</v>
      </c>
      <c r="F1124" s="647">
        <v>12208</v>
      </c>
      <c r="G1124" s="647" t="s">
        <v>8794</v>
      </c>
      <c r="H1124" s="649"/>
      <c r="I1124" s="649"/>
      <c r="J1124" s="649"/>
      <c r="K1124" s="647" t="s">
        <v>4035</v>
      </c>
      <c r="L1124" s="647" t="s">
        <v>8795</v>
      </c>
      <c r="M1124" s="647" t="s">
        <v>4078</v>
      </c>
      <c r="N1124" s="648" t="e">
        <v>#N/A</v>
      </c>
    </row>
    <row r="1125" spans="1:14" x14ac:dyDescent="0.35">
      <c r="A1125" s="647">
        <v>531004</v>
      </c>
      <c r="B1125" s="647" t="s">
        <v>8796</v>
      </c>
      <c r="C1125" s="647" t="s">
        <v>8797</v>
      </c>
      <c r="D1125" s="647" t="s">
        <v>8798</v>
      </c>
      <c r="E1125" s="647" t="s">
        <v>3016</v>
      </c>
      <c r="F1125" s="647">
        <v>13850</v>
      </c>
      <c r="G1125" s="647" t="s">
        <v>8799</v>
      </c>
      <c r="H1125" s="649"/>
      <c r="I1125" s="649"/>
      <c r="J1125" s="649"/>
      <c r="K1125" s="647" t="s">
        <v>4782</v>
      </c>
      <c r="L1125" s="647" t="s">
        <v>8800</v>
      </c>
      <c r="M1125" s="647" t="s">
        <v>4078</v>
      </c>
      <c r="N1125" s="648" t="e">
        <v>#N/A</v>
      </c>
    </row>
    <row r="1126" spans="1:14" x14ac:dyDescent="0.35">
      <c r="A1126" s="647">
        <v>531005</v>
      </c>
      <c r="B1126" s="647" t="s">
        <v>8801</v>
      </c>
      <c r="C1126" s="647" t="s">
        <v>8802</v>
      </c>
      <c r="D1126" s="647" t="s">
        <v>3065</v>
      </c>
      <c r="E1126" s="647" t="s">
        <v>3016</v>
      </c>
      <c r="F1126" s="647">
        <v>14209</v>
      </c>
      <c r="G1126" s="647" t="s">
        <v>8803</v>
      </c>
      <c r="H1126" s="647" t="s">
        <v>3924</v>
      </c>
      <c r="I1126" s="647" t="s">
        <v>4111</v>
      </c>
      <c r="J1126" s="647"/>
      <c r="K1126" s="647" t="s">
        <v>4374</v>
      </c>
      <c r="L1126" s="647" t="s">
        <v>8804</v>
      </c>
      <c r="M1126" s="647" t="s">
        <v>4078</v>
      </c>
      <c r="N1126" s="648">
        <v>40269</v>
      </c>
    </row>
    <row r="1127" spans="1:14" x14ac:dyDescent="0.35">
      <c r="A1127" s="647">
        <v>531007</v>
      </c>
      <c r="B1127" s="647" t="s">
        <v>8805</v>
      </c>
      <c r="C1127" s="647" t="s">
        <v>8806</v>
      </c>
      <c r="D1127" s="647" t="s">
        <v>3103</v>
      </c>
      <c r="E1127" s="647" t="s">
        <v>3016</v>
      </c>
      <c r="F1127" s="647">
        <v>12550</v>
      </c>
      <c r="G1127" s="647" t="s">
        <v>8807</v>
      </c>
      <c r="H1127" s="649"/>
      <c r="I1127" s="649"/>
      <c r="J1127" s="649"/>
      <c r="K1127" s="649"/>
      <c r="L1127" s="649"/>
      <c r="M1127" s="649"/>
      <c r="N1127" s="648" t="e">
        <v>#N/A</v>
      </c>
    </row>
    <row r="1128" spans="1:14" x14ac:dyDescent="0.35">
      <c r="A1128" s="647">
        <v>531009</v>
      </c>
      <c r="B1128" s="647" t="s">
        <v>8808</v>
      </c>
      <c r="C1128" s="647" t="s">
        <v>8809</v>
      </c>
      <c r="D1128" s="647" t="s">
        <v>8810</v>
      </c>
      <c r="E1128" s="647" t="s">
        <v>3016</v>
      </c>
      <c r="F1128" s="647">
        <v>10956</v>
      </c>
      <c r="G1128" s="647" t="s">
        <v>8811</v>
      </c>
      <c r="H1128" s="649"/>
      <c r="I1128" s="649"/>
      <c r="J1128" s="649"/>
      <c r="K1128" s="647" t="s">
        <v>8569</v>
      </c>
      <c r="L1128" s="647" t="s">
        <v>8812</v>
      </c>
      <c r="M1128" s="647" t="s">
        <v>4078</v>
      </c>
      <c r="N1128" s="648" t="e">
        <v>#N/A</v>
      </c>
    </row>
    <row r="1129" spans="1:14" x14ac:dyDescent="0.35">
      <c r="A1129" s="647">
        <v>531010</v>
      </c>
      <c r="B1129" s="647" t="s">
        <v>8813</v>
      </c>
      <c r="C1129" s="647" t="s">
        <v>8814</v>
      </c>
      <c r="D1129" s="647" t="s">
        <v>8815</v>
      </c>
      <c r="E1129" s="647" t="s">
        <v>3016</v>
      </c>
      <c r="F1129" s="647">
        <v>12309</v>
      </c>
      <c r="G1129" s="647" t="s">
        <v>8816</v>
      </c>
      <c r="H1129" s="649"/>
      <c r="I1129" s="649"/>
      <c r="J1129" s="649"/>
      <c r="K1129" s="647" t="s">
        <v>4164</v>
      </c>
      <c r="L1129" s="647" t="s">
        <v>8817</v>
      </c>
      <c r="M1129" s="647" t="s">
        <v>4078</v>
      </c>
      <c r="N1129" s="648" t="e">
        <v>#N/A</v>
      </c>
    </row>
    <row r="1130" spans="1:14" x14ac:dyDescent="0.35">
      <c r="A1130" s="647">
        <v>531015</v>
      </c>
      <c r="B1130" s="647" t="s">
        <v>8818</v>
      </c>
      <c r="C1130" s="647" t="s">
        <v>8819</v>
      </c>
      <c r="D1130" s="647" t="s">
        <v>8820</v>
      </c>
      <c r="E1130" s="647" t="s">
        <v>3016</v>
      </c>
      <c r="F1130" s="647">
        <v>10471</v>
      </c>
      <c r="G1130" s="647" t="s">
        <v>8821</v>
      </c>
      <c r="H1130" s="649"/>
      <c r="I1130" s="649"/>
      <c r="J1130" s="649"/>
      <c r="K1130" s="647" t="s">
        <v>8822</v>
      </c>
      <c r="L1130" s="647" t="s">
        <v>8823</v>
      </c>
      <c r="M1130" s="647" t="s">
        <v>4078</v>
      </c>
      <c r="N1130" s="648" t="e">
        <v>#N/A</v>
      </c>
    </row>
    <row r="1131" spans="1:14" x14ac:dyDescent="0.35">
      <c r="A1131" s="647">
        <v>531016</v>
      </c>
      <c r="B1131" s="647" t="s">
        <v>8824</v>
      </c>
      <c r="C1131" s="647" t="s">
        <v>8825</v>
      </c>
      <c r="D1131" s="647" t="s">
        <v>8826</v>
      </c>
      <c r="E1131" s="647" t="s">
        <v>3016</v>
      </c>
      <c r="F1131" s="647">
        <v>11219</v>
      </c>
      <c r="G1131" s="647" t="s">
        <v>8827</v>
      </c>
      <c r="H1131" s="649"/>
      <c r="I1131" s="649"/>
      <c r="J1131" s="649"/>
      <c r="K1131" s="647" t="s">
        <v>7399</v>
      </c>
      <c r="L1131" s="647" t="s">
        <v>8828</v>
      </c>
      <c r="M1131" s="647" t="s">
        <v>4078</v>
      </c>
      <c r="N1131" s="648" t="e">
        <v>#N/A</v>
      </c>
    </row>
    <row r="1132" spans="1:14" x14ac:dyDescent="0.35">
      <c r="A1132" s="647">
        <v>531017</v>
      </c>
      <c r="B1132" s="647" t="s">
        <v>8829</v>
      </c>
      <c r="C1132" s="647" t="s">
        <v>8830</v>
      </c>
      <c r="D1132" s="647" t="s">
        <v>8826</v>
      </c>
      <c r="E1132" s="647" t="s">
        <v>3016</v>
      </c>
      <c r="F1132" s="647">
        <v>11235</v>
      </c>
      <c r="G1132" s="647" t="s">
        <v>8831</v>
      </c>
      <c r="H1132" s="649"/>
      <c r="I1132" s="649"/>
      <c r="J1132" s="649"/>
      <c r="K1132" s="647" t="s">
        <v>8456</v>
      </c>
      <c r="L1132" s="647" t="s">
        <v>8832</v>
      </c>
      <c r="M1132" s="647" t="s">
        <v>4078</v>
      </c>
      <c r="N1132" s="648" t="e">
        <v>#N/A</v>
      </c>
    </row>
    <row r="1133" spans="1:14" x14ac:dyDescent="0.35">
      <c r="A1133" s="647">
        <v>531018</v>
      </c>
      <c r="B1133" s="647" t="s">
        <v>8833</v>
      </c>
      <c r="C1133" s="647" t="s">
        <v>8834</v>
      </c>
      <c r="D1133" s="647" t="s">
        <v>8826</v>
      </c>
      <c r="E1133" s="647" t="s">
        <v>3016</v>
      </c>
      <c r="F1133" s="647">
        <v>11214</v>
      </c>
      <c r="G1133" s="647" t="s">
        <v>8835</v>
      </c>
      <c r="H1133" s="649"/>
      <c r="I1133" s="649"/>
      <c r="J1133" s="649"/>
      <c r="K1133" s="647" t="s">
        <v>7251</v>
      </c>
      <c r="L1133" s="647" t="s">
        <v>8736</v>
      </c>
      <c r="M1133" s="647" t="s">
        <v>4078</v>
      </c>
      <c r="N1133" s="648" t="e">
        <v>#N/A</v>
      </c>
    </row>
    <row r="1134" spans="1:14" x14ac:dyDescent="0.35">
      <c r="A1134" s="647">
        <v>531019</v>
      </c>
      <c r="B1134" s="647" t="s">
        <v>8836</v>
      </c>
      <c r="C1134" s="647" t="s">
        <v>8837</v>
      </c>
      <c r="D1134" s="647" t="s">
        <v>8826</v>
      </c>
      <c r="E1134" s="647" t="s">
        <v>3016</v>
      </c>
      <c r="F1134" s="647">
        <v>11223</v>
      </c>
      <c r="G1134" s="647" t="s">
        <v>8838</v>
      </c>
      <c r="H1134" s="649"/>
      <c r="I1134" s="649"/>
      <c r="J1134" s="649"/>
      <c r="K1134" s="647" t="s">
        <v>4802</v>
      </c>
      <c r="L1134" s="647" t="s">
        <v>8839</v>
      </c>
      <c r="M1134" s="647" t="s">
        <v>8595</v>
      </c>
      <c r="N1134" s="648" t="e">
        <v>#N/A</v>
      </c>
    </row>
    <row r="1135" spans="1:14" x14ac:dyDescent="0.35">
      <c r="A1135" s="647">
        <v>531021</v>
      </c>
      <c r="B1135" s="647" t="s">
        <v>8840</v>
      </c>
      <c r="C1135" s="647" t="s">
        <v>8841</v>
      </c>
      <c r="D1135" s="647" t="s">
        <v>8826</v>
      </c>
      <c r="E1135" s="647" t="s">
        <v>3016</v>
      </c>
      <c r="F1135" s="647">
        <v>11229</v>
      </c>
      <c r="G1135" s="647" t="s">
        <v>8842</v>
      </c>
      <c r="H1135" s="649"/>
      <c r="I1135" s="649"/>
      <c r="J1135" s="649"/>
      <c r="K1135" s="647" t="s">
        <v>8843</v>
      </c>
      <c r="L1135" s="647" t="s">
        <v>8844</v>
      </c>
      <c r="M1135" s="647" t="s">
        <v>4025</v>
      </c>
      <c r="N1135" s="648" t="e">
        <v>#N/A</v>
      </c>
    </row>
    <row r="1136" spans="1:14" x14ac:dyDescent="0.35">
      <c r="A1136" s="647">
        <v>531022</v>
      </c>
      <c r="B1136" s="647" t="s">
        <v>8845</v>
      </c>
      <c r="C1136" s="647" t="s">
        <v>8846</v>
      </c>
      <c r="D1136" s="647" t="s">
        <v>8847</v>
      </c>
      <c r="E1136" s="647" t="s">
        <v>3016</v>
      </c>
      <c r="F1136" s="647">
        <v>11572</v>
      </c>
      <c r="G1136" s="647" t="s">
        <v>8848</v>
      </c>
      <c r="H1136" s="649"/>
      <c r="I1136" s="649"/>
      <c r="J1136" s="649"/>
      <c r="K1136" s="647" t="s">
        <v>8716</v>
      </c>
      <c r="L1136" s="647" t="s">
        <v>8849</v>
      </c>
      <c r="M1136" s="647" t="s">
        <v>4078</v>
      </c>
      <c r="N1136" s="648" t="e">
        <v>#N/A</v>
      </c>
    </row>
    <row r="1137" spans="1:14" x14ac:dyDescent="0.35">
      <c r="A1137" s="647">
        <v>531023</v>
      </c>
      <c r="B1137" s="647" t="s">
        <v>8850</v>
      </c>
      <c r="C1137" s="647" t="s">
        <v>8851</v>
      </c>
      <c r="D1137" s="647" t="s">
        <v>2101</v>
      </c>
      <c r="E1137" s="647" t="s">
        <v>3016</v>
      </c>
      <c r="F1137" s="647">
        <v>11561</v>
      </c>
      <c r="G1137" s="647" t="s">
        <v>8852</v>
      </c>
      <c r="H1137" s="649"/>
      <c r="I1137" s="649"/>
      <c r="J1137" s="649"/>
      <c r="K1137" s="647" t="s">
        <v>8853</v>
      </c>
      <c r="L1137" s="647" t="s">
        <v>8854</v>
      </c>
      <c r="M1137" s="647" t="s">
        <v>8595</v>
      </c>
      <c r="N1137" s="648" t="e">
        <v>#N/A</v>
      </c>
    </row>
    <row r="1138" spans="1:14" x14ac:dyDescent="0.35">
      <c r="A1138" s="647">
        <v>531024</v>
      </c>
      <c r="B1138" s="647" t="s">
        <v>8855</v>
      </c>
      <c r="C1138" s="647" t="s">
        <v>8856</v>
      </c>
      <c r="D1138" s="647" t="s">
        <v>8857</v>
      </c>
      <c r="E1138" s="647" t="s">
        <v>3016</v>
      </c>
      <c r="F1138" s="647">
        <v>11516</v>
      </c>
      <c r="G1138" s="647" t="s">
        <v>8858</v>
      </c>
      <c r="H1138" s="649"/>
      <c r="I1138" s="649"/>
      <c r="J1138" s="649"/>
      <c r="K1138" s="649"/>
      <c r="L1138" s="649"/>
      <c r="M1138" s="649"/>
      <c r="N1138" s="648" t="e">
        <v>#N/A</v>
      </c>
    </row>
    <row r="1139" spans="1:14" x14ac:dyDescent="0.35">
      <c r="A1139" s="647">
        <v>531025</v>
      </c>
      <c r="B1139" s="647" t="s">
        <v>8859</v>
      </c>
      <c r="C1139" s="647" t="s">
        <v>8860</v>
      </c>
      <c r="D1139" s="647" t="s">
        <v>8861</v>
      </c>
      <c r="E1139" s="647" t="s">
        <v>3016</v>
      </c>
      <c r="F1139" s="647">
        <v>11548</v>
      </c>
      <c r="G1139" s="647" t="s">
        <v>8862</v>
      </c>
      <c r="H1139" s="649"/>
      <c r="I1139" s="649"/>
      <c r="J1139" s="649"/>
      <c r="K1139" s="647" t="s">
        <v>8863</v>
      </c>
      <c r="L1139" s="647" t="s">
        <v>8864</v>
      </c>
      <c r="M1139" s="647" t="s">
        <v>4078</v>
      </c>
      <c r="N1139" s="648" t="e">
        <v>#N/A</v>
      </c>
    </row>
    <row r="1140" spans="1:14" x14ac:dyDescent="0.35">
      <c r="A1140" s="647">
        <v>531026</v>
      </c>
      <c r="B1140" s="647" t="s">
        <v>8865</v>
      </c>
      <c r="C1140" s="647" t="s">
        <v>8866</v>
      </c>
      <c r="D1140" s="647" t="s">
        <v>3622</v>
      </c>
      <c r="E1140" s="647" t="s">
        <v>3016</v>
      </c>
      <c r="F1140" s="647">
        <v>11803</v>
      </c>
      <c r="G1140" s="647" t="s">
        <v>8867</v>
      </c>
      <c r="H1140" s="649"/>
      <c r="I1140" s="649"/>
      <c r="J1140" s="649"/>
      <c r="K1140" s="647" t="s">
        <v>4782</v>
      </c>
      <c r="L1140" s="647" t="s">
        <v>8868</v>
      </c>
      <c r="M1140" s="647" t="s">
        <v>4078</v>
      </c>
      <c r="N1140" s="648" t="e">
        <v>#N/A</v>
      </c>
    </row>
    <row r="1141" spans="1:14" x14ac:dyDescent="0.35">
      <c r="A1141" s="647">
        <v>531027</v>
      </c>
      <c r="B1141" s="647" t="s">
        <v>8869</v>
      </c>
      <c r="C1141" s="647" t="s">
        <v>8870</v>
      </c>
      <c r="D1141" s="647" t="s">
        <v>8871</v>
      </c>
      <c r="E1141" s="647" t="s">
        <v>3016</v>
      </c>
      <c r="F1141" s="647">
        <v>11725</v>
      </c>
      <c r="G1141" s="647" t="s">
        <v>8872</v>
      </c>
      <c r="H1141" s="649"/>
      <c r="I1141" s="649"/>
      <c r="J1141" s="649"/>
      <c r="K1141" s="647" t="s">
        <v>4910</v>
      </c>
      <c r="L1141" s="647" t="s">
        <v>8873</v>
      </c>
      <c r="M1141" s="647" t="s">
        <v>4078</v>
      </c>
      <c r="N1141" s="648" t="e">
        <v>#N/A</v>
      </c>
    </row>
    <row r="1142" spans="1:14" x14ac:dyDescent="0.35">
      <c r="A1142" s="647">
        <v>531028</v>
      </c>
      <c r="B1142" s="647" t="s">
        <v>8874</v>
      </c>
      <c r="C1142" s="647" t="s">
        <v>8875</v>
      </c>
      <c r="D1142" s="647" t="s">
        <v>8876</v>
      </c>
      <c r="E1142" s="647" t="s">
        <v>3016</v>
      </c>
      <c r="F1142" s="647">
        <v>11776</v>
      </c>
      <c r="G1142" s="647" t="s">
        <v>8872</v>
      </c>
      <c r="H1142" s="649"/>
      <c r="I1142" s="649"/>
      <c r="J1142" s="649"/>
      <c r="K1142" s="647" t="s">
        <v>8877</v>
      </c>
      <c r="L1142" s="647" t="s">
        <v>8878</v>
      </c>
      <c r="M1142" s="647" t="s">
        <v>4078</v>
      </c>
      <c r="N1142" s="648" t="e">
        <v>#N/A</v>
      </c>
    </row>
    <row r="1143" spans="1:14" x14ac:dyDescent="0.35">
      <c r="A1143" s="647">
        <v>531029</v>
      </c>
      <c r="B1143" s="647" t="s">
        <v>8879</v>
      </c>
      <c r="C1143" s="647" t="s">
        <v>8880</v>
      </c>
      <c r="D1143" s="647" t="s">
        <v>3107</v>
      </c>
      <c r="E1143" s="647" t="s">
        <v>3016</v>
      </c>
      <c r="F1143" s="647">
        <v>10023</v>
      </c>
      <c r="G1143" s="647" t="s">
        <v>8881</v>
      </c>
      <c r="H1143" s="649"/>
      <c r="I1143" s="649"/>
      <c r="J1143" s="649"/>
      <c r="K1143" s="649"/>
      <c r="L1143" s="649"/>
      <c r="M1143" s="649"/>
      <c r="N1143" s="648" t="e">
        <v>#N/A</v>
      </c>
    </row>
    <row r="1144" spans="1:14" x14ac:dyDescent="0.35">
      <c r="A1144" s="647">
        <v>531030</v>
      </c>
      <c r="B1144" s="647" t="s">
        <v>8882</v>
      </c>
      <c r="C1144" s="647" t="s">
        <v>8883</v>
      </c>
      <c r="D1144" s="647" t="s">
        <v>3107</v>
      </c>
      <c r="E1144" s="647" t="s">
        <v>3016</v>
      </c>
      <c r="F1144" s="647">
        <v>10040</v>
      </c>
      <c r="G1144" s="647" t="s">
        <v>8884</v>
      </c>
      <c r="H1144" s="649"/>
      <c r="I1144" s="649"/>
      <c r="J1144" s="649"/>
      <c r="K1144" s="647" t="s">
        <v>6160</v>
      </c>
      <c r="L1144" s="647" t="s">
        <v>8885</v>
      </c>
      <c r="M1144" s="647" t="s">
        <v>4078</v>
      </c>
      <c r="N1144" s="648" t="e">
        <v>#N/A</v>
      </c>
    </row>
    <row r="1145" spans="1:14" x14ac:dyDescent="0.35">
      <c r="A1145" s="647">
        <v>531033</v>
      </c>
      <c r="B1145" s="647" t="s">
        <v>8886</v>
      </c>
      <c r="C1145" s="647" t="s">
        <v>8887</v>
      </c>
      <c r="D1145" s="647" t="s">
        <v>3107</v>
      </c>
      <c r="E1145" s="647" t="s">
        <v>3016</v>
      </c>
      <c r="F1145" s="647">
        <v>10128</v>
      </c>
      <c r="G1145" s="647" t="s">
        <v>8888</v>
      </c>
      <c r="H1145" s="649"/>
      <c r="I1145" s="649"/>
      <c r="J1145" s="649"/>
      <c r="K1145" s="647" t="s">
        <v>4024</v>
      </c>
      <c r="L1145" s="647" t="s">
        <v>8889</v>
      </c>
      <c r="M1145" s="647" t="s">
        <v>8595</v>
      </c>
      <c r="N1145" s="648" t="e">
        <v>#N/A</v>
      </c>
    </row>
    <row r="1146" spans="1:14" x14ac:dyDescent="0.35">
      <c r="A1146" s="647">
        <v>531034</v>
      </c>
      <c r="B1146" s="647" t="s">
        <v>8890</v>
      </c>
      <c r="C1146" s="647" t="s">
        <v>8891</v>
      </c>
      <c r="D1146" s="647" t="s">
        <v>8892</v>
      </c>
      <c r="E1146" s="647" t="s">
        <v>3016</v>
      </c>
      <c r="F1146" s="647">
        <v>11375</v>
      </c>
      <c r="G1146" s="647" t="s">
        <v>8893</v>
      </c>
      <c r="H1146" s="649"/>
      <c r="I1146" s="649"/>
      <c r="J1146" s="649"/>
      <c r="K1146" s="647" t="s">
        <v>8894</v>
      </c>
      <c r="L1146" s="647" t="s">
        <v>8895</v>
      </c>
      <c r="M1146" s="647" t="s">
        <v>4078</v>
      </c>
      <c r="N1146" s="648" t="e">
        <v>#N/A</v>
      </c>
    </row>
    <row r="1147" spans="1:14" x14ac:dyDescent="0.35">
      <c r="A1147" s="647">
        <v>531035</v>
      </c>
      <c r="B1147" s="647" t="s">
        <v>8896</v>
      </c>
      <c r="C1147" s="647" t="s">
        <v>8897</v>
      </c>
      <c r="D1147" s="647" t="s">
        <v>8898</v>
      </c>
      <c r="E1147" s="647" t="s">
        <v>3016</v>
      </c>
      <c r="F1147" s="647">
        <v>11362</v>
      </c>
      <c r="G1147" s="647" t="s">
        <v>8899</v>
      </c>
      <c r="H1147" s="649"/>
      <c r="I1147" s="649"/>
      <c r="J1147" s="649"/>
      <c r="K1147" s="649"/>
      <c r="L1147" s="649"/>
      <c r="M1147" s="649"/>
      <c r="N1147" s="648" t="e">
        <v>#N/A</v>
      </c>
    </row>
    <row r="1148" spans="1:14" x14ac:dyDescent="0.35">
      <c r="A1148" s="647">
        <v>531036</v>
      </c>
      <c r="B1148" s="647" t="s">
        <v>8900</v>
      </c>
      <c r="C1148" s="647" t="s">
        <v>8901</v>
      </c>
      <c r="D1148" s="647" t="s">
        <v>8902</v>
      </c>
      <c r="E1148" s="647" t="s">
        <v>3016</v>
      </c>
      <c r="F1148" s="647">
        <v>11360</v>
      </c>
      <c r="G1148" s="647" t="s">
        <v>8903</v>
      </c>
      <c r="H1148" s="649"/>
      <c r="I1148" s="649"/>
      <c r="J1148" s="649"/>
      <c r="K1148" s="647" t="s">
        <v>3880</v>
      </c>
      <c r="L1148" s="647" t="s">
        <v>8309</v>
      </c>
      <c r="M1148" s="647" t="s">
        <v>8595</v>
      </c>
      <c r="N1148" s="648" t="e">
        <v>#N/A</v>
      </c>
    </row>
    <row r="1149" spans="1:14" x14ac:dyDescent="0.35">
      <c r="A1149" s="647">
        <v>531037</v>
      </c>
      <c r="B1149" s="647" t="s">
        <v>8904</v>
      </c>
      <c r="C1149" s="647" t="s">
        <v>8905</v>
      </c>
      <c r="D1149" s="647" t="s">
        <v>8906</v>
      </c>
      <c r="E1149" s="647" t="s">
        <v>3016</v>
      </c>
      <c r="F1149" s="647">
        <v>10314</v>
      </c>
      <c r="G1149" s="647" t="s">
        <v>8907</v>
      </c>
      <c r="H1149" s="649"/>
      <c r="I1149" s="649"/>
      <c r="J1149" s="649"/>
      <c r="K1149" s="647" t="s">
        <v>4668</v>
      </c>
      <c r="L1149" s="647" t="s">
        <v>8309</v>
      </c>
      <c r="M1149" s="647" t="s">
        <v>3826</v>
      </c>
      <c r="N1149" s="648" t="e">
        <v>#N/A</v>
      </c>
    </row>
    <row r="1150" spans="1:14" x14ac:dyDescent="0.35">
      <c r="A1150" s="647">
        <v>531038</v>
      </c>
      <c r="B1150" s="647" t="s">
        <v>8908</v>
      </c>
      <c r="C1150" s="647" t="s">
        <v>8909</v>
      </c>
      <c r="D1150" s="647" t="s">
        <v>8906</v>
      </c>
      <c r="E1150" s="647" t="s">
        <v>3016</v>
      </c>
      <c r="F1150" s="647">
        <v>10312</v>
      </c>
      <c r="G1150" s="647" t="s">
        <v>8910</v>
      </c>
      <c r="H1150" s="649"/>
      <c r="I1150" s="649"/>
      <c r="J1150" s="649"/>
      <c r="K1150" s="647" t="s">
        <v>4164</v>
      </c>
      <c r="L1150" s="647" t="s">
        <v>8911</v>
      </c>
      <c r="M1150" s="647" t="s">
        <v>4078</v>
      </c>
      <c r="N1150" s="648" t="e">
        <v>#N/A</v>
      </c>
    </row>
    <row r="1151" spans="1:14" x14ac:dyDescent="0.35">
      <c r="A1151" s="647">
        <v>531040</v>
      </c>
      <c r="B1151" s="647" t="s">
        <v>8912</v>
      </c>
      <c r="C1151" s="647" t="s">
        <v>8913</v>
      </c>
      <c r="D1151" s="647" t="s">
        <v>6523</v>
      </c>
      <c r="E1151" s="647" t="s">
        <v>3016</v>
      </c>
      <c r="F1151" s="647">
        <v>10591</v>
      </c>
      <c r="G1151" s="647" t="s">
        <v>8914</v>
      </c>
      <c r="H1151" s="649"/>
      <c r="I1151" s="649"/>
      <c r="J1151" s="649"/>
      <c r="K1151" s="649"/>
      <c r="L1151" s="649"/>
      <c r="M1151" s="649"/>
      <c r="N1151" s="648" t="e">
        <v>#N/A</v>
      </c>
    </row>
    <row r="1152" spans="1:14" x14ac:dyDescent="0.35">
      <c r="A1152" s="647">
        <v>531041</v>
      </c>
      <c r="B1152" s="647" t="s">
        <v>8915</v>
      </c>
      <c r="C1152" s="647" t="s">
        <v>8916</v>
      </c>
      <c r="D1152" s="647" t="s">
        <v>8917</v>
      </c>
      <c r="E1152" s="647" t="s">
        <v>3016</v>
      </c>
      <c r="F1152" s="647">
        <v>10570</v>
      </c>
      <c r="G1152" s="647" t="s">
        <v>8918</v>
      </c>
      <c r="H1152" s="649"/>
      <c r="I1152" s="649"/>
      <c r="J1152" s="649"/>
      <c r="K1152" s="647" t="s">
        <v>4302</v>
      </c>
      <c r="L1152" s="647" t="s">
        <v>8919</v>
      </c>
      <c r="M1152" s="647" t="s">
        <v>4078</v>
      </c>
      <c r="N1152" s="648" t="e">
        <v>#N/A</v>
      </c>
    </row>
    <row r="1153" spans="1:14" x14ac:dyDescent="0.35">
      <c r="A1153" s="647">
        <v>531042</v>
      </c>
      <c r="B1153" s="647" t="s">
        <v>8920</v>
      </c>
      <c r="C1153" s="647" t="s">
        <v>8921</v>
      </c>
      <c r="D1153" s="647" t="s">
        <v>8922</v>
      </c>
      <c r="E1153" s="647" t="s">
        <v>3016</v>
      </c>
      <c r="F1153" s="647">
        <v>10583</v>
      </c>
      <c r="G1153" s="647" t="s">
        <v>8923</v>
      </c>
      <c r="H1153" s="649"/>
      <c r="I1153" s="649"/>
      <c r="J1153" s="649"/>
      <c r="K1153" s="647" t="s">
        <v>8456</v>
      </c>
      <c r="L1153" s="647" t="s">
        <v>8924</v>
      </c>
      <c r="M1153" s="647" t="s">
        <v>4078</v>
      </c>
      <c r="N1153" s="648" t="e">
        <v>#N/A</v>
      </c>
    </row>
    <row r="1154" spans="1:14" x14ac:dyDescent="0.35">
      <c r="A1154" s="647">
        <v>531520</v>
      </c>
      <c r="B1154" s="647" t="s">
        <v>8925</v>
      </c>
      <c r="C1154" s="647" t="s">
        <v>8926</v>
      </c>
      <c r="D1154" s="647" t="s">
        <v>8826</v>
      </c>
      <c r="E1154" s="647" t="s">
        <v>3016</v>
      </c>
      <c r="F1154" s="647">
        <v>11236</v>
      </c>
      <c r="G1154" s="647" t="s">
        <v>8927</v>
      </c>
      <c r="H1154" s="649"/>
      <c r="I1154" s="649"/>
      <c r="J1154" s="649"/>
      <c r="K1154" s="647" t="s">
        <v>4668</v>
      </c>
      <c r="L1154" s="647" t="s">
        <v>8928</v>
      </c>
      <c r="M1154" s="647" t="s">
        <v>4078</v>
      </c>
      <c r="N1154" s="648" t="e">
        <v>#N/A</v>
      </c>
    </row>
    <row r="1155" spans="1:14" x14ac:dyDescent="0.35">
      <c r="A1155" s="647">
        <v>531531</v>
      </c>
      <c r="B1155" s="647" t="s">
        <v>8929</v>
      </c>
      <c r="C1155" s="647" t="s">
        <v>8930</v>
      </c>
      <c r="D1155" s="647" t="s">
        <v>3107</v>
      </c>
      <c r="E1155" s="647" t="s">
        <v>3016</v>
      </c>
      <c r="F1155" s="647">
        <v>10002</v>
      </c>
      <c r="G1155" s="647" t="s">
        <v>8931</v>
      </c>
      <c r="H1155" s="649"/>
      <c r="I1155" s="649"/>
      <c r="J1155" s="649"/>
      <c r="K1155" s="647" t="s">
        <v>8932</v>
      </c>
      <c r="L1155" s="647" t="s">
        <v>8933</v>
      </c>
      <c r="M1155" s="647" t="s">
        <v>4078</v>
      </c>
      <c r="N1155" s="648" t="e">
        <v>#N/A</v>
      </c>
    </row>
    <row r="1156" spans="1:14" x14ac:dyDescent="0.35">
      <c r="A1156" s="647">
        <v>531532</v>
      </c>
      <c r="B1156" s="647" t="s">
        <v>8934</v>
      </c>
      <c r="C1156" s="647" t="s">
        <v>8935</v>
      </c>
      <c r="D1156" s="647" t="s">
        <v>3107</v>
      </c>
      <c r="E1156" s="647" t="s">
        <v>3016</v>
      </c>
      <c r="F1156" s="647">
        <v>10003</v>
      </c>
      <c r="G1156" s="647" t="s">
        <v>8936</v>
      </c>
      <c r="H1156" s="649"/>
      <c r="I1156" s="649"/>
      <c r="J1156" s="649"/>
      <c r="K1156" s="647" t="s">
        <v>5519</v>
      </c>
      <c r="L1156" s="647" t="s">
        <v>8236</v>
      </c>
      <c r="M1156" s="647" t="s">
        <v>3836</v>
      </c>
      <c r="N1156" s="648" t="e">
        <v>#N/A</v>
      </c>
    </row>
    <row r="1157" spans="1:14" x14ac:dyDescent="0.35">
      <c r="A1157" s="647">
        <v>532001</v>
      </c>
      <c r="B1157" s="647" t="s">
        <v>8937</v>
      </c>
      <c r="C1157" s="647" t="s">
        <v>8938</v>
      </c>
      <c r="D1157" s="647" t="s">
        <v>3148</v>
      </c>
      <c r="E1157" s="647" t="s">
        <v>3142</v>
      </c>
      <c r="F1157" s="647">
        <v>28801</v>
      </c>
      <c r="G1157" s="647" t="s">
        <v>8939</v>
      </c>
      <c r="H1157" s="647" t="s">
        <v>3924</v>
      </c>
      <c r="I1157" s="647" t="s">
        <v>4175</v>
      </c>
      <c r="J1157" s="647"/>
      <c r="K1157" s="647" t="s">
        <v>4668</v>
      </c>
      <c r="L1157" s="647" t="s">
        <v>8940</v>
      </c>
      <c r="M1157" s="647" t="s">
        <v>4078</v>
      </c>
      <c r="N1157" s="648">
        <v>40323</v>
      </c>
    </row>
    <row r="1158" spans="1:14" x14ac:dyDescent="0.35">
      <c r="A1158" s="647">
        <v>532002</v>
      </c>
      <c r="B1158" s="647" t="s">
        <v>8941</v>
      </c>
      <c r="C1158" s="647" t="s">
        <v>8942</v>
      </c>
      <c r="D1158" s="647" t="s">
        <v>3153</v>
      </c>
      <c r="E1158" s="647" t="s">
        <v>3142</v>
      </c>
      <c r="F1158" s="647">
        <v>28226</v>
      </c>
      <c r="G1158" s="647" t="s">
        <v>8943</v>
      </c>
      <c r="H1158" s="647" t="s">
        <v>3924</v>
      </c>
      <c r="I1158" s="647" t="s">
        <v>4175</v>
      </c>
      <c r="J1158" s="647"/>
      <c r="K1158" s="647" t="s">
        <v>8944</v>
      </c>
      <c r="L1158" s="647" t="s">
        <v>8945</v>
      </c>
      <c r="M1158" s="647" t="s">
        <v>4078</v>
      </c>
      <c r="N1158" s="648">
        <v>40179</v>
      </c>
    </row>
    <row r="1159" spans="1:14" x14ac:dyDescent="0.35">
      <c r="A1159" s="647">
        <v>532004</v>
      </c>
      <c r="B1159" s="647" t="s">
        <v>8946</v>
      </c>
      <c r="C1159" s="647" t="s">
        <v>8947</v>
      </c>
      <c r="D1159" s="647" t="s">
        <v>3179</v>
      </c>
      <c r="E1159" s="647" t="s">
        <v>3142</v>
      </c>
      <c r="F1159" s="647">
        <v>27613</v>
      </c>
      <c r="G1159" s="647" t="s">
        <v>8948</v>
      </c>
      <c r="H1159" s="649"/>
      <c r="I1159" s="649"/>
      <c r="J1159" s="649"/>
      <c r="K1159" s="647" t="s">
        <v>5845</v>
      </c>
      <c r="L1159" s="647" t="s">
        <v>8949</v>
      </c>
      <c r="M1159" s="647" t="s">
        <v>4078</v>
      </c>
      <c r="N1159" s="648" t="e">
        <v>#N/A</v>
      </c>
    </row>
    <row r="1160" spans="1:14" x14ac:dyDescent="0.35">
      <c r="A1160" s="647">
        <v>532102</v>
      </c>
      <c r="B1160" s="647" t="s">
        <v>8950</v>
      </c>
      <c r="C1160" s="647" t="s">
        <v>8951</v>
      </c>
      <c r="D1160" s="647" t="s">
        <v>8952</v>
      </c>
      <c r="E1160" s="647" t="s">
        <v>3142</v>
      </c>
      <c r="F1160" s="647">
        <v>27707</v>
      </c>
      <c r="G1160" s="647" t="s">
        <v>8953</v>
      </c>
      <c r="H1160" s="649"/>
      <c r="I1160" s="649"/>
      <c r="J1160" s="649"/>
      <c r="K1160" s="647" t="s">
        <v>5407</v>
      </c>
      <c r="L1160" s="647" t="s">
        <v>8954</v>
      </c>
      <c r="M1160" s="647" t="s">
        <v>8955</v>
      </c>
      <c r="N1160" s="648" t="e">
        <v>#N/A</v>
      </c>
    </row>
    <row r="1161" spans="1:14" x14ac:dyDescent="0.35">
      <c r="A1161" s="647">
        <v>534001</v>
      </c>
      <c r="B1161" s="647" t="s">
        <v>8956</v>
      </c>
      <c r="C1161" s="647" t="s">
        <v>8957</v>
      </c>
      <c r="D1161" s="647" t="s">
        <v>3208</v>
      </c>
      <c r="E1161" s="647" t="s">
        <v>3209</v>
      </c>
      <c r="F1161" s="647">
        <v>44320</v>
      </c>
      <c r="G1161" s="647" t="s">
        <v>8958</v>
      </c>
      <c r="H1161" s="649"/>
      <c r="I1161" s="649"/>
      <c r="J1161" s="649"/>
      <c r="K1161" s="647" t="s">
        <v>8959</v>
      </c>
      <c r="L1161" s="647" t="s">
        <v>8960</v>
      </c>
      <c r="M1161" s="647" t="s">
        <v>8428</v>
      </c>
      <c r="N1161" s="648" t="e">
        <v>#N/A</v>
      </c>
    </row>
    <row r="1162" spans="1:14" x14ac:dyDescent="0.35">
      <c r="A1162" s="647">
        <v>534002</v>
      </c>
      <c r="B1162" s="647" t="s">
        <v>8961</v>
      </c>
      <c r="C1162" s="647" t="s">
        <v>8962</v>
      </c>
      <c r="D1162" s="647" t="s">
        <v>2346</v>
      </c>
      <c r="E1162" s="647" t="s">
        <v>3209</v>
      </c>
      <c r="F1162" s="647">
        <v>44709</v>
      </c>
      <c r="G1162" s="647" t="s">
        <v>8963</v>
      </c>
      <c r="H1162" s="649"/>
      <c r="I1162" s="649"/>
      <c r="J1162" s="649"/>
      <c r="K1162" s="647" t="s">
        <v>5160</v>
      </c>
      <c r="L1162" s="647" t="s">
        <v>8964</v>
      </c>
      <c r="M1162" s="647" t="s">
        <v>4078</v>
      </c>
      <c r="N1162" s="648" t="e">
        <v>#N/A</v>
      </c>
    </row>
    <row r="1163" spans="1:14" x14ac:dyDescent="0.35">
      <c r="A1163" s="647">
        <v>534003</v>
      </c>
      <c r="B1163" s="647" t="s">
        <v>8965</v>
      </c>
      <c r="C1163" s="647" t="s">
        <v>8966</v>
      </c>
      <c r="D1163" s="647" t="s">
        <v>3226</v>
      </c>
      <c r="E1163" s="647" t="s">
        <v>3209</v>
      </c>
      <c r="F1163" s="647">
        <v>45236</v>
      </c>
      <c r="G1163" s="647" t="s">
        <v>8967</v>
      </c>
      <c r="H1163" s="649"/>
      <c r="I1163" s="649"/>
      <c r="J1163" s="649"/>
      <c r="K1163" s="647" t="s">
        <v>8968</v>
      </c>
      <c r="L1163" s="647" t="s">
        <v>8969</v>
      </c>
      <c r="M1163" s="647" t="s">
        <v>8970</v>
      </c>
      <c r="N1163" s="648" t="e">
        <v>#N/A</v>
      </c>
    </row>
    <row r="1164" spans="1:14" x14ac:dyDescent="0.35">
      <c r="A1164" s="647">
        <v>534005</v>
      </c>
      <c r="B1164" s="647" t="s">
        <v>8971</v>
      </c>
      <c r="C1164" s="647" t="s">
        <v>8972</v>
      </c>
      <c r="D1164" s="647" t="s">
        <v>8973</v>
      </c>
      <c r="E1164" s="647" t="s">
        <v>3209</v>
      </c>
      <c r="F1164" s="647">
        <v>44122</v>
      </c>
      <c r="G1164" s="647" t="s">
        <v>8974</v>
      </c>
      <c r="H1164" s="649"/>
      <c r="I1164" s="649"/>
      <c r="J1164" s="649"/>
      <c r="K1164" s="647" t="s">
        <v>3860</v>
      </c>
      <c r="L1164" s="647" t="s">
        <v>8406</v>
      </c>
      <c r="M1164" s="647" t="s">
        <v>4078</v>
      </c>
      <c r="N1164" s="648" t="e">
        <v>#N/A</v>
      </c>
    </row>
    <row r="1165" spans="1:14" x14ac:dyDescent="0.35">
      <c r="A1165" s="647">
        <v>534007</v>
      </c>
      <c r="B1165" s="647" t="s">
        <v>8975</v>
      </c>
      <c r="C1165" s="647" t="s">
        <v>8976</v>
      </c>
      <c r="D1165" s="647" t="s">
        <v>2295</v>
      </c>
      <c r="E1165" s="647" t="s">
        <v>3209</v>
      </c>
      <c r="F1165" s="647">
        <v>43209</v>
      </c>
      <c r="G1165" s="647" t="s">
        <v>8977</v>
      </c>
      <c r="H1165" s="649"/>
      <c r="I1165" s="649"/>
      <c r="J1165" s="649"/>
      <c r="K1165" s="647" t="s">
        <v>4453</v>
      </c>
      <c r="L1165" s="647" t="s">
        <v>8978</v>
      </c>
      <c r="M1165" s="647" t="s">
        <v>4078</v>
      </c>
      <c r="N1165" s="648" t="e">
        <v>#N/A</v>
      </c>
    </row>
    <row r="1166" spans="1:14" x14ac:dyDescent="0.35">
      <c r="A1166" s="647">
        <v>534009</v>
      </c>
      <c r="B1166" s="647" t="s">
        <v>8979</v>
      </c>
      <c r="C1166" s="647" t="s">
        <v>8980</v>
      </c>
      <c r="D1166" s="647" t="s">
        <v>3231</v>
      </c>
      <c r="E1166" s="647" t="s">
        <v>3209</v>
      </c>
      <c r="F1166" s="647">
        <v>45459</v>
      </c>
      <c r="G1166" s="647" t="s">
        <v>8981</v>
      </c>
      <c r="H1166" s="649"/>
      <c r="I1166" s="649"/>
      <c r="J1166" s="649"/>
      <c r="K1166" s="647" t="s">
        <v>5164</v>
      </c>
      <c r="L1166" s="647" t="s">
        <v>8982</v>
      </c>
      <c r="M1166" s="647" t="s">
        <v>4078</v>
      </c>
      <c r="N1166" s="648" t="e">
        <v>#N/A</v>
      </c>
    </row>
    <row r="1167" spans="1:14" x14ac:dyDescent="0.35">
      <c r="A1167" s="647">
        <v>534010</v>
      </c>
      <c r="B1167" s="647" t="s">
        <v>8983</v>
      </c>
      <c r="C1167" s="647" t="s">
        <v>8984</v>
      </c>
      <c r="D1167" s="647" t="s">
        <v>8985</v>
      </c>
      <c r="E1167" s="647" t="s">
        <v>3209</v>
      </c>
      <c r="F1167" s="647">
        <v>43560</v>
      </c>
      <c r="G1167" s="647" t="s">
        <v>8986</v>
      </c>
      <c r="H1167" s="649"/>
      <c r="I1167" s="649"/>
      <c r="J1167" s="649"/>
      <c r="K1167" s="647" t="s">
        <v>8932</v>
      </c>
      <c r="L1167" s="647" t="s">
        <v>4518</v>
      </c>
      <c r="M1167" s="647" t="s">
        <v>8987</v>
      </c>
      <c r="N1167" s="648" t="e">
        <v>#N/A</v>
      </c>
    </row>
    <row r="1168" spans="1:14" x14ac:dyDescent="0.35">
      <c r="A1168" s="647">
        <v>534011</v>
      </c>
      <c r="B1168" s="647" t="s">
        <v>8988</v>
      </c>
      <c r="C1168" s="647" t="s">
        <v>8989</v>
      </c>
      <c r="D1168" s="647" t="s">
        <v>3303</v>
      </c>
      <c r="E1168" s="647" t="s">
        <v>3209</v>
      </c>
      <c r="F1168" s="647">
        <v>44504</v>
      </c>
      <c r="G1168" s="647" t="s">
        <v>8990</v>
      </c>
      <c r="H1168" s="647" t="s">
        <v>3924</v>
      </c>
      <c r="I1168" s="647" t="s">
        <v>4083</v>
      </c>
      <c r="J1168" s="647"/>
      <c r="K1168" s="647" t="s">
        <v>8877</v>
      </c>
      <c r="L1168" s="647" t="s">
        <v>8991</v>
      </c>
      <c r="M1168" s="647" t="s">
        <v>4078</v>
      </c>
      <c r="N1168" s="648" t="e">
        <v>#N/A</v>
      </c>
    </row>
    <row r="1169" spans="1:14" x14ac:dyDescent="0.35">
      <c r="A1169" s="647">
        <v>534204</v>
      </c>
      <c r="B1169" s="647" t="s">
        <v>8992</v>
      </c>
      <c r="C1169" s="647" t="s">
        <v>8993</v>
      </c>
      <c r="D1169" s="647" t="s">
        <v>3226</v>
      </c>
      <c r="E1169" s="647" t="s">
        <v>3209</v>
      </c>
      <c r="F1169" s="647">
        <v>45236</v>
      </c>
      <c r="G1169" s="647" t="s">
        <v>8994</v>
      </c>
      <c r="H1169" s="649"/>
      <c r="I1169" s="649"/>
      <c r="J1169" s="649"/>
      <c r="K1169" s="647" t="s">
        <v>6767</v>
      </c>
      <c r="L1169" s="647" t="s">
        <v>8995</v>
      </c>
      <c r="M1169" s="647" t="s">
        <v>4078</v>
      </c>
      <c r="N1169" s="648" t="e">
        <v>#N/A</v>
      </c>
    </row>
    <row r="1170" spans="1:14" x14ac:dyDescent="0.35">
      <c r="A1170" s="647">
        <v>535002</v>
      </c>
      <c r="B1170" s="647" t="s">
        <v>8996</v>
      </c>
      <c r="C1170" s="647" t="s">
        <v>8997</v>
      </c>
      <c r="D1170" s="647" t="s">
        <v>3335</v>
      </c>
      <c r="E1170" s="647" t="s">
        <v>3310</v>
      </c>
      <c r="F1170" s="647">
        <v>74136</v>
      </c>
      <c r="G1170" s="647" t="s">
        <v>8998</v>
      </c>
      <c r="H1170" s="649"/>
      <c r="I1170" s="649"/>
      <c r="J1170" s="649"/>
      <c r="K1170" s="647" t="s">
        <v>5832</v>
      </c>
      <c r="L1170" s="647" t="s">
        <v>4165</v>
      </c>
      <c r="M1170" s="647" t="s">
        <v>4025</v>
      </c>
      <c r="N1170" s="648" t="e">
        <v>#N/A</v>
      </c>
    </row>
    <row r="1171" spans="1:14" x14ac:dyDescent="0.35">
      <c r="A1171" s="647">
        <v>535101</v>
      </c>
      <c r="B1171" s="647" t="s">
        <v>8999</v>
      </c>
      <c r="C1171" s="647" t="s">
        <v>9000</v>
      </c>
      <c r="D1171" s="647" t="s">
        <v>9001</v>
      </c>
      <c r="E1171" s="647" t="s">
        <v>3310</v>
      </c>
      <c r="F1171" s="647">
        <v>73116</v>
      </c>
      <c r="G1171" s="647" t="s">
        <v>9002</v>
      </c>
      <c r="H1171" s="649"/>
      <c r="I1171" s="649"/>
      <c r="J1171" s="649"/>
      <c r="K1171" s="647" t="s">
        <v>5407</v>
      </c>
      <c r="L1171" s="647" t="s">
        <v>9003</v>
      </c>
      <c r="M1171" s="647" t="s">
        <v>4078</v>
      </c>
      <c r="N1171" s="648" t="e">
        <v>#N/A</v>
      </c>
    </row>
    <row r="1172" spans="1:14" x14ac:dyDescent="0.35">
      <c r="A1172" s="647">
        <v>537001</v>
      </c>
      <c r="B1172" s="647" t="s">
        <v>9004</v>
      </c>
      <c r="C1172" s="647" t="s">
        <v>9005</v>
      </c>
      <c r="D1172" s="647" t="s">
        <v>3362</v>
      </c>
      <c r="E1172" s="647" t="s">
        <v>3358</v>
      </c>
      <c r="F1172" s="647">
        <v>18104</v>
      </c>
      <c r="G1172" s="647" t="s">
        <v>9006</v>
      </c>
      <c r="H1172" s="647" t="s">
        <v>3924</v>
      </c>
      <c r="I1172" s="647" t="s">
        <v>4083</v>
      </c>
      <c r="J1172" s="647"/>
      <c r="K1172" s="649"/>
      <c r="L1172" s="649"/>
      <c r="M1172" s="649"/>
      <c r="N1172" s="648" t="e">
        <v>#N/A</v>
      </c>
    </row>
    <row r="1173" spans="1:14" x14ac:dyDescent="0.35">
      <c r="A1173" s="647">
        <v>537002</v>
      </c>
      <c r="B1173" s="647" t="s">
        <v>9007</v>
      </c>
      <c r="C1173" s="647" t="s">
        <v>9008</v>
      </c>
      <c r="D1173" s="647" t="s">
        <v>9009</v>
      </c>
      <c r="E1173" s="647" t="s">
        <v>3358</v>
      </c>
      <c r="F1173" s="647">
        <v>16601</v>
      </c>
      <c r="G1173" s="647" t="s">
        <v>9010</v>
      </c>
      <c r="H1173" s="649"/>
      <c r="I1173" s="649"/>
      <c r="J1173" s="649"/>
      <c r="K1173" s="647" t="s">
        <v>5164</v>
      </c>
      <c r="L1173" s="647" t="s">
        <v>9011</v>
      </c>
      <c r="M1173" s="647" t="s">
        <v>4078</v>
      </c>
      <c r="N1173" s="648" t="e">
        <v>#N/A</v>
      </c>
    </row>
    <row r="1174" spans="1:14" x14ac:dyDescent="0.35">
      <c r="A1174" s="647">
        <v>537004</v>
      </c>
      <c r="B1174" s="647" t="s">
        <v>9012</v>
      </c>
      <c r="C1174" s="647" t="s">
        <v>9013</v>
      </c>
      <c r="D1174" s="647" t="s">
        <v>3254</v>
      </c>
      <c r="E1174" s="647" t="s">
        <v>3358</v>
      </c>
      <c r="F1174" s="647">
        <v>17601</v>
      </c>
      <c r="G1174" s="647" t="s">
        <v>9014</v>
      </c>
      <c r="H1174" s="649"/>
      <c r="I1174" s="649"/>
      <c r="J1174" s="649"/>
      <c r="K1174" s="649"/>
      <c r="L1174" s="649"/>
      <c r="M1174" s="649"/>
      <c r="N1174" s="648" t="e">
        <v>#N/A</v>
      </c>
    </row>
    <row r="1175" spans="1:14" x14ac:dyDescent="0.35">
      <c r="A1175" s="647">
        <v>537005</v>
      </c>
      <c r="B1175" s="647" t="s">
        <v>9015</v>
      </c>
      <c r="C1175" s="647" t="s">
        <v>9016</v>
      </c>
      <c r="D1175" s="647" t="s">
        <v>3403</v>
      </c>
      <c r="E1175" s="647" t="s">
        <v>9017</v>
      </c>
      <c r="F1175" s="647">
        <v>19147</v>
      </c>
      <c r="G1175" s="647" t="s">
        <v>9018</v>
      </c>
      <c r="H1175" s="649"/>
      <c r="I1175" s="649"/>
      <c r="J1175" s="649"/>
      <c r="K1175" s="647" t="s">
        <v>9019</v>
      </c>
      <c r="L1175" s="647" t="s">
        <v>9020</v>
      </c>
      <c r="M1175" s="647" t="s">
        <v>4078</v>
      </c>
      <c r="N1175" s="648" t="e">
        <v>#N/A</v>
      </c>
    </row>
    <row r="1176" spans="1:14" x14ac:dyDescent="0.35">
      <c r="A1176" s="647">
        <v>537006</v>
      </c>
      <c r="B1176" s="647" t="s">
        <v>9021</v>
      </c>
      <c r="C1176" s="647" t="s">
        <v>9022</v>
      </c>
      <c r="D1176" s="647" t="s">
        <v>9023</v>
      </c>
      <c r="E1176" s="647" t="s">
        <v>3358</v>
      </c>
      <c r="F1176" s="647">
        <v>19096</v>
      </c>
      <c r="G1176" s="647" t="s">
        <v>9024</v>
      </c>
      <c r="H1176" s="649"/>
      <c r="I1176" s="649"/>
      <c r="J1176" s="649"/>
      <c r="K1176" s="649"/>
      <c r="L1176" s="649"/>
      <c r="M1176" s="649"/>
      <c r="N1176" s="648" t="e">
        <v>#N/A</v>
      </c>
    </row>
    <row r="1177" spans="1:14" x14ac:dyDescent="0.35">
      <c r="A1177" s="647">
        <v>537007</v>
      </c>
      <c r="B1177" s="647" t="s">
        <v>9025</v>
      </c>
      <c r="C1177" s="647" t="s">
        <v>9026</v>
      </c>
      <c r="D1177" s="647" t="s">
        <v>3403</v>
      </c>
      <c r="E1177" s="647" t="s">
        <v>3358</v>
      </c>
      <c r="F1177" s="647">
        <v>19116</v>
      </c>
      <c r="G1177" s="647" t="s">
        <v>9027</v>
      </c>
      <c r="H1177" s="649"/>
      <c r="I1177" s="649"/>
      <c r="J1177" s="649"/>
      <c r="K1177" s="647" t="s">
        <v>9028</v>
      </c>
      <c r="L1177" s="647" t="s">
        <v>9029</v>
      </c>
      <c r="M1177" s="647" t="s">
        <v>8415</v>
      </c>
      <c r="N1177" s="648" t="e">
        <v>#N/A</v>
      </c>
    </row>
    <row r="1178" spans="1:14" x14ac:dyDescent="0.35">
      <c r="A1178" s="647">
        <v>537008</v>
      </c>
      <c r="B1178" s="647" t="s">
        <v>9030</v>
      </c>
      <c r="C1178" s="647" t="s">
        <v>9026</v>
      </c>
      <c r="D1178" s="647" t="s">
        <v>3403</v>
      </c>
      <c r="E1178" s="647" t="s">
        <v>3358</v>
      </c>
      <c r="F1178" s="647">
        <v>19116</v>
      </c>
      <c r="G1178" s="647" t="s">
        <v>9027</v>
      </c>
      <c r="H1178" s="649"/>
      <c r="I1178" s="649"/>
      <c r="J1178" s="649"/>
      <c r="K1178" s="647" t="s">
        <v>9031</v>
      </c>
      <c r="L1178" s="647" t="s">
        <v>9032</v>
      </c>
      <c r="M1178" s="647" t="s">
        <v>8415</v>
      </c>
      <c r="N1178" s="648" t="e">
        <v>#N/A</v>
      </c>
    </row>
    <row r="1179" spans="1:14" x14ac:dyDescent="0.35">
      <c r="A1179" s="647">
        <v>537014</v>
      </c>
      <c r="B1179" s="647" t="s">
        <v>9033</v>
      </c>
      <c r="C1179" s="647" t="s">
        <v>9016</v>
      </c>
      <c r="D1179" s="647" t="s">
        <v>3403</v>
      </c>
      <c r="E1179" s="647" t="s">
        <v>3358</v>
      </c>
      <c r="F1179" s="647">
        <v>19147</v>
      </c>
      <c r="G1179" s="647" t="s">
        <v>9034</v>
      </c>
      <c r="H1179" s="649"/>
      <c r="I1179" s="649"/>
      <c r="J1179" s="649"/>
      <c r="K1179" s="649"/>
      <c r="L1179" s="649"/>
      <c r="M1179" s="649"/>
      <c r="N1179" s="648" t="e">
        <v>#N/A</v>
      </c>
    </row>
    <row r="1180" spans="1:14" x14ac:dyDescent="0.35">
      <c r="A1180" s="647">
        <v>537015</v>
      </c>
      <c r="B1180" s="647" t="s">
        <v>9035</v>
      </c>
      <c r="C1180" s="647" t="s">
        <v>9016</v>
      </c>
      <c r="D1180" s="647" t="s">
        <v>3403</v>
      </c>
      <c r="E1180" s="647" t="s">
        <v>3358</v>
      </c>
      <c r="F1180" s="647">
        <v>19147</v>
      </c>
      <c r="G1180" s="647" t="s">
        <v>9036</v>
      </c>
      <c r="H1180" s="649"/>
      <c r="I1180" s="649"/>
      <c r="J1180" s="649"/>
      <c r="K1180" s="649"/>
      <c r="L1180" s="649"/>
      <c r="M1180" s="649"/>
      <c r="N1180" s="648" t="e">
        <v>#N/A</v>
      </c>
    </row>
    <row r="1181" spans="1:14" x14ac:dyDescent="0.35">
      <c r="A1181" s="647">
        <v>537016</v>
      </c>
      <c r="B1181" s="647" t="s">
        <v>9037</v>
      </c>
      <c r="C1181" s="647" t="s">
        <v>9016</v>
      </c>
      <c r="D1181" s="647" t="s">
        <v>3403</v>
      </c>
      <c r="E1181" s="647" t="s">
        <v>3358</v>
      </c>
      <c r="F1181" s="647">
        <v>19147</v>
      </c>
      <c r="G1181" s="647" t="s">
        <v>9038</v>
      </c>
      <c r="H1181" s="649"/>
      <c r="I1181" s="649"/>
      <c r="J1181" s="649"/>
      <c r="K1181" s="647" t="s">
        <v>8812</v>
      </c>
      <c r="L1181" s="647" t="s">
        <v>8791</v>
      </c>
      <c r="M1181" s="647" t="s">
        <v>4025</v>
      </c>
      <c r="N1181" s="648" t="e">
        <v>#N/A</v>
      </c>
    </row>
    <row r="1182" spans="1:14" x14ac:dyDescent="0.35">
      <c r="A1182" s="647">
        <v>537017</v>
      </c>
      <c r="B1182" s="647" t="s">
        <v>9039</v>
      </c>
      <c r="C1182" s="647" t="s">
        <v>9040</v>
      </c>
      <c r="D1182" s="647" t="s">
        <v>3446</v>
      </c>
      <c r="E1182" s="647" t="s">
        <v>3358</v>
      </c>
      <c r="F1182" s="647">
        <v>15217</v>
      </c>
      <c r="G1182" s="647" t="s">
        <v>9041</v>
      </c>
      <c r="H1182" s="647" t="s">
        <v>3924</v>
      </c>
      <c r="I1182" s="647" t="s">
        <v>4175</v>
      </c>
      <c r="J1182" s="647"/>
      <c r="K1182" s="649"/>
      <c r="L1182" s="649"/>
      <c r="M1182" s="649"/>
      <c r="N1182" s="648">
        <v>40360</v>
      </c>
    </row>
    <row r="1183" spans="1:14" x14ac:dyDescent="0.35">
      <c r="A1183" s="647">
        <v>537018</v>
      </c>
      <c r="B1183" s="649"/>
      <c r="C1183" s="647" t="s">
        <v>9042</v>
      </c>
      <c r="D1183" s="647" t="s">
        <v>3446</v>
      </c>
      <c r="E1183" s="647" t="s">
        <v>3358</v>
      </c>
      <c r="F1183" s="647">
        <v>15243</v>
      </c>
      <c r="G1183" s="647" t="s">
        <v>9043</v>
      </c>
      <c r="H1183" s="649"/>
      <c r="I1183" s="649"/>
      <c r="J1183" s="649"/>
      <c r="K1183" s="647" t="s">
        <v>4558</v>
      </c>
      <c r="L1183" s="647" t="s">
        <v>8555</v>
      </c>
      <c r="M1183" s="647" t="s">
        <v>4078</v>
      </c>
      <c r="N1183" s="648" t="e">
        <v>#N/A</v>
      </c>
    </row>
    <row r="1184" spans="1:14" x14ac:dyDescent="0.35">
      <c r="A1184" s="647">
        <v>537019</v>
      </c>
      <c r="B1184" s="647" t="s">
        <v>9044</v>
      </c>
      <c r="C1184" s="647" t="s">
        <v>9045</v>
      </c>
      <c r="D1184" s="647" t="s">
        <v>9046</v>
      </c>
      <c r="E1184" s="647" t="s">
        <v>3358</v>
      </c>
      <c r="F1184" s="647">
        <v>18510</v>
      </c>
      <c r="G1184" s="647" t="s">
        <v>9047</v>
      </c>
      <c r="H1184" s="649"/>
      <c r="I1184" s="649"/>
      <c r="J1184" s="649"/>
      <c r="K1184" s="649"/>
      <c r="L1184" s="649"/>
      <c r="M1184" s="649"/>
      <c r="N1184" s="648" t="e">
        <v>#N/A</v>
      </c>
    </row>
    <row r="1185" spans="1:14" x14ac:dyDescent="0.35">
      <c r="A1185" s="647">
        <v>537020</v>
      </c>
      <c r="B1185" s="647" t="s">
        <v>9048</v>
      </c>
      <c r="C1185" s="647" t="s">
        <v>9049</v>
      </c>
      <c r="D1185" s="647" t="s">
        <v>3485</v>
      </c>
      <c r="E1185" s="647" t="s">
        <v>3358</v>
      </c>
      <c r="F1185" s="647">
        <v>18702</v>
      </c>
      <c r="G1185" s="647" t="s">
        <v>9050</v>
      </c>
      <c r="H1185" s="649"/>
      <c r="I1185" s="649"/>
      <c r="J1185" s="649"/>
      <c r="K1185" s="647" t="s">
        <v>4508</v>
      </c>
      <c r="L1185" s="647" t="s">
        <v>9051</v>
      </c>
      <c r="M1185" s="647" t="s">
        <v>4078</v>
      </c>
      <c r="N1185" s="648" t="e">
        <v>#N/A</v>
      </c>
    </row>
    <row r="1186" spans="1:14" x14ac:dyDescent="0.35">
      <c r="A1186" s="647">
        <v>537021</v>
      </c>
      <c r="B1186" s="647" t="s">
        <v>9052</v>
      </c>
      <c r="C1186" s="647" t="s">
        <v>9053</v>
      </c>
      <c r="D1186" s="647" t="s">
        <v>3489</v>
      </c>
      <c r="E1186" s="647" t="s">
        <v>3358</v>
      </c>
      <c r="F1186" s="647">
        <v>17403</v>
      </c>
      <c r="G1186" s="647" t="s">
        <v>9054</v>
      </c>
      <c r="H1186" s="649"/>
      <c r="I1186" s="649"/>
      <c r="J1186" s="649"/>
      <c r="K1186" s="647" t="s">
        <v>3840</v>
      </c>
      <c r="L1186" s="647" t="s">
        <v>5399</v>
      </c>
      <c r="M1186" s="647" t="s">
        <v>4078</v>
      </c>
      <c r="N1186" s="648" t="e">
        <v>#N/A</v>
      </c>
    </row>
    <row r="1187" spans="1:14" x14ac:dyDescent="0.35">
      <c r="A1187" s="647">
        <v>537102</v>
      </c>
      <c r="B1187" s="647" t="s">
        <v>9055</v>
      </c>
      <c r="C1187" s="647" t="s">
        <v>9056</v>
      </c>
      <c r="D1187" s="647" t="s">
        <v>3406</v>
      </c>
      <c r="E1187" s="647" t="s">
        <v>3358</v>
      </c>
      <c r="F1187" s="647">
        <v>17110</v>
      </c>
      <c r="G1187" s="647" t="s">
        <v>9057</v>
      </c>
      <c r="H1187" s="649"/>
      <c r="I1187" s="649"/>
      <c r="J1187" s="649"/>
      <c r="K1187" s="647" t="s">
        <v>4563</v>
      </c>
      <c r="L1187" s="647" t="s">
        <v>9058</v>
      </c>
      <c r="M1187" s="647" t="s">
        <v>4078</v>
      </c>
      <c r="N1187" s="648" t="e">
        <v>#N/A</v>
      </c>
    </row>
    <row r="1188" spans="1:14" x14ac:dyDescent="0.35">
      <c r="A1188" s="647">
        <v>537103</v>
      </c>
      <c r="B1188" s="647" t="s">
        <v>9059</v>
      </c>
      <c r="C1188" s="649"/>
      <c r="D1188" s="649"/>
      <c r="E1188" s="649"/>
      <c r="F1188" s="649"/>
      <c r="G1188" s="649"/>
      <c r="H1188" s="647" t="s">
        <v>3924</v>
      </c>
      <c r="I1188" s="647" t="s">
        <v>4083</v>
      </c>
      <c r="J1188" s="647"/>
      <c r="K1188" s="649"/>
      <c r="L1188" s="649"/>
      <c r="M1188" s="649"/>
      <c r="N1188" s="648" t="e">
        <v>#N/A</v>
      </c>
    </row>
    <row r="1189" spans="1:14" x14ac:dyDescent="0.35">
      <c r="A1189" s="647">
        <v>537216</v>
      </c>
      <c r="B1189" s="647" t="s">
        <v>9060</v>
      </c>
      <c r="C1189" s="647" t="s">
        <v>9061</v>
      </c>
      <c r="D1189" s="647" t="s">
        <v>3403</v>
      </c>
      <c r="E1189" s="647" t="s">
        <v>3358</v>
      </c>
      <c r="F1189" s="647">
        <v>19127</v>
      </c>
      <c r="G1189" s="647" t="s">
        <v>9062</v>
      </c>
      <c r="H1189" s="649"/>
      <c r="I1189" s="649"/>
      <c r="J1189" s="649"/>
      <c r="K1189" s="649"/>
      <c r="L1189" s="649"/>
      <c r="M1189" s="649"/>
      <c r="N1189" s="648" t="e">
        <v>#N/A</v>
      </c>
    </row>
    <row r="1190" spans="1:14" x14ac:dyDescent="0.35">
      <c r="A1190" s="647">
        <v>537409</v>
      </c>
      <c r="B1190" s="647" t="s">
        <v>9063</v>
      </c>
      <c r="C1190" s="647" t="s">
        <v>9064</v>
      </c>
      <c r="D1190" s="647" t="s">
        <v>3403</v>
      </c>
      <c r="E1190" s="647" t="s">
        <v>3358</v>
      </c>
      <c r="F1190" s="647">
        <v>19148</v>
      </c>
      <c r="G1190" s="647" t="s">
        <v>9065</v>
      </c>
      <c r="H1190" s="649"/>
      <c r="I1190" s="649"/>
      <c r="J1190" s="649"/>
      <c r="K1190" s="647" t="s">
        <v>5182</v>
      </c>
      <c r="L1190" s="647" t="s">
        <v>9066</v>
      </c>
      <c r="M1190" s="647" t="s">
        <v>4078</v>
      </c>
      <c r="N1190" s="648" t="e">
        <v>#N/A</v>
      </c>
    </row>
    <row r="1191" spans="1:14" x14ac:dyDescent="0.35">
      <c r="A1191" s="647">
        <v>538001</v>
      </c>
      <c r="B1191" s="647" t="s">
        <v>9067</v>
      </c>
      <c r="C1191" s="647" t="s">
        <v>9068</v>
      </c>
      <c r="D1191" s="647" t="s">
        <v>3506</v>
      </c>
      <c r="E1191" s="647" t="s">
        <v>3502</v>
      </c>
      <c r="F1191" s="647">
        <v>2906</v>
      </c>
      <c r="G1191" s="647" t="s">
        <v>9069</v>
      </c>
      <c r="H1191" s="649"/>
      <c r="I1191" s="649"/>
      <c r="J1191" s="649"/>
      <c r="K1191" s="649"/>
      <c r="L1191" s="649"/>
      <c r="M1191" s="649"/>
      <c r="N1191" s="648" t="e">
        <v>#N/A</v>
      </c>
    </row>
    <row r="1192" spans="1:14" x14ac:dyDescent="0.35">
      <c r="A1192" s="647">
        <v>539001</v>
      </c>
      <c r="B1192" s="647" t="s">
        <v>9070</v>
      </c>
      <c r="C1192" s="647" t="s">
        <v>9071</v>
      </c>
      <c r="D1192" s="647" t="s">
        <v>3521</v>
      </c>
      <c r="E1192" s="647" t="s">
        <v>3513</v>
      </c>
      <c r="F1192" s="647">
        <v>29407</v>
      </c>
      <c r="G1192" s="650">
        <v>8435716565</v>
      </c>
      <c r="H1192" s="649"/>
      <c r="I1192" s="649"/>
      <c r="J1192" s="649"/>
      <c r="K1192" s="647" t="s">
        <v>4280</v>
      </c>
      <c r="L1192" s="647" t="s">
        <v>5174</v>
      </c>
      <c r="M1192" s="647" t="s">
        <v>8955</v>
      </c>
      <c r="N1192" s="648" t="e">
        <v>#N/A</v>
      </c>
    </row>
    <row r="1193" spans="1:14" x14ac:dyDescent="0.35">
      <c r="A1193" s="647">
        <v>539002</v>
      </c>
      <c r="B1193" s="647" t="s">
        <v>9072</v>
      </c>
      <c r="C1193" s="647" t="s">
        <v>9073</v>
      </c>
      <c r="D1193" s="647" t="s">
        <v>2867</v>
      </c>
      <c r="E1193" s="647" t="s">
        <v>3513</v>
      </c>
      <c r="F1193" s="647">
        <v>29224</v>
      </c>
      <c r="G1193" s="647" t="s">
        <v>9074</v>
      </c>
      <c r="H1193" s="647" t="s">
        <v>3924</v>
      </c>
      <c r="I1193" s="647" t="s">
        <v>4083</v>
      </c>
      <c r="J1193" s="647"/>
      <c r="K1193" s="647" t="s">
        <v>5014</v>
      </c>
      <c r="L1193" s="647" t="s">
        <v>9075</v>
      </c>
      <c r="M1193" s="647" t="s">
        <v>4078</v>
      </c>
      <c r="N1193" s="648" t="e">
        <v>#N/A</v>
      </c>
    </row>
    <row r="1194" spans="1:14" x14ac:dyDescent="0.35">
      <c r="A1194" s="647">
        <v>541002</v>
      </c>
      <c r="B1194" s="647" t="s">
        <v>9076</v>
      </c>
      <c r="C1194" s="647" t="s">
        <v>9077</v>
      </c>
      <c r="D1194" s="647" t="s">
        <v>9078</v>
      </c>
      <c r="E1194" s="647" t="s">
        <v>3559</v>
      </c>
      <c r="F1194" s="647">
        <v>38138</v>
      </c>
      <c r="G1194" s="647" t="s">
        <v>9079</v>
      </c>
      <c r="H1194" s="649"/>
      <c r="I1194" s="649"/>
      <c r="J1194" s="649"/>
      <c r="K1194" s="647" t="s">
        <v>3880</v>
      </c>
      <c r="L1194" s="647" t="s">
        <v>9080</v>
      </c>
      <c r="M1194" s="647" t="s">
        <v>4078</v>
      </c>
      <c r="N1194" s="648" t="e">
        <v>#N/A</v>
      </c>
    </row>
    <row r="1195" spans="1:14" x14ac:dyDescent="0.35">
      <c r="A1195" s="647">
        <v>541003</v>
      </c>
      <c r="B1195" s="647" t="s">
        <v>9081</v>
      </c>
      <c r="C1195" s="647" t="s">
        <v>9082</v>
      </c>
      <c r="D1195" s="647" t="s">
        <v>2473</v>
      </c>
      <c r="E1195" s="647" t="s">
        <v>3559</v>
      </c>
      <c r="F1195" s="647">
        <v>37205</v>
      </c>
      <c r="G1195" s="647" t="s">
        <v>9083</v>
      </c>
      <c r="H1195" s="649"/>
      <c r="I1195" s="649"/>
      <c r="J1195" s="649"/>
      <c r="K1195" s="647" t="s">
        <v>9084</v>
      </c>
      <c r="L1195" s="647" t="s">
        <v>9085</v>
      </c>
      <c r="M1195" s="647" t="s">
        <v>4078</v>
      </c>
      <c r="N1195" s="648" t="e">
        <v>#N/A</v>
      </c>
    </row>
    <row r="1196" spans="1:14" x14ac:dyDescent="0.35">
      <c r="A1196" s="647">
        <v>542001</v>
      </c>
      <c r="B1196" s="647" t="s">
        <v>9086</v>
      </c>
      <c r="C1196" s="647" t="s">
        <v>9087</v>
      </c>
      <c r="D1196" s="647" t="s">
        <v>3601</v>
      </c>
      <c r="E1196" s="647" t="s">
        <v>3584</v>
      </c>
      <c r="F1196" s="647">
        <v>75230</v>
      </c>
      <c r="G1196" s="647" t="s">
        <v>9088</v>
      </c>
      <c r="H1196" s="647" t="s">
        <v>3924</v>
      </c>
      <c r="I1196" s="647" t="s">
        <v>4083</v>
      </c>
      <c r="J1196" s="647"/>
      <c r="K1196" s="647" t="s">
        <v>3865</v>
      </c>
      <c r="L1196" s="647" t="s">
        <v>8683</v>
      </c>
      <c r="M1196" s="647" t="s">
        <v>4078</v>
      </c>
      <c r="N1196" s="648" t="e">
        <v>#N/A</v>
      </c>
    </row>
    <row r="1197" spans="1:14" x14ac:dyDescent="0.35">
      <c r="A1197" s="647">
        <v>542002</v>
      </c>
      <c r="B1197" s="647" t="s">
        <v>9089</v>
      </c>
      <c r="C1197" s="647" t="s">
        <v>9090</v>
      </c>
      <c r="D1197" s="647" t="s">
        <v>2821</v>
      </c>
      <c r="E1197" s="647" t="s">
        <v>3584</v>
      </c>
      <c r="F1197" s="647">
        <v>78731</v>
      </c>
      <c r="G1197" s="647" t="s">
        <v>9091</v>
      </c>
      <c r="H1197" s="649"/>
      <c r="I1197" s="649"/>
      <c r="J1197" s="649"/>
      <c r="K1197" s="647" t="s">
        <v>9092</v>
      </c>
      <c r="L1197" s="647" t="s">
        <v>6753</v>
      </c>
      <c r="M1197" s="647" t="s">
        <v>4078</v>
      </c>
      <c r="N1197" s="648" t="e">
        <v>#N/A</v>
      </c>
    </row>
    <row r="1198" spans="1:14" x14ac:dyDescent="0.35">
      <c r="A1198" s="647">
        <v>542003</v>
      </c>
      <c r="B1198" s="647" t="s">
        <v>9093</v>
      </c>
      <c r="C1198" s="647" t="s">
        <v>9094</v>
      </c>
      <c r="D1198" s="647" t="s">
        <v>3614</v>
      </c>
      <c r="E1198" s="647" t="s">
        <v>3584</v>
      </c>
      <c r="F1198" s="647">
        <v>77096</v>
      </c>
      <c r="G1198" s="647" t="s">
        <v>9095</v>
      </c>
      <c r="H1198" s="647" t="s">
        <v>3924</v>
      </c>
      <c r="I1198" s="647" t="s">
        <v>4175</v>
      </c>
      <c r="J1198" s="647"/>
      <c r="K1198" s="647" t="s">
        <v>9096</v>
      </c>
      <c r="L1198" s="647" t="s">
        <v>9097</v>
      </c>
      <c r="M1198" s="647" t="s">
        <v>4078</v>
      </c>
      <c r="N1198" s="648">
        <v>40487</v>
      </c>
    </row>
    <row r="1199" spans="1:14" x14ac:dyDescent="0.35">
      <c r="A1199" s="647">
        <v>542004</v>
      </c>
      <c r="B1199" s="647" t="s">
        <v>9098</v>
      </c>
      <c r="C1199" s="647" t="s">
        <v>9099</v>
      </c>
      <c r="D1199" s="647" t="s">
        <v>3614</v>
      </c>
      <c r="E1199" s="647" t="s">
        <v>3584</v>
      </c>
      <c r="F1199" s="647">
        <v>77079</v>
      </c>
      <c r="G1199" s="647" t="s">
        <v>9100</v>
      </c>
      <c r="H1199" s="649"/>
      <c r="I1199" s="649"/>
      <c r="J1199" s="649"/>
      <c r="K1199" s="647" t="s">
        <v>3824</v>
      </c>
      <c r="L1199" s="647" t="s">
        <v>9101</v>
      </c>
      <c r="M1199" s="647" t="s">
        <v>8595</v>
      </c>
      <c r="N1199" s="648" t="e">
        <v>#N/A</v>
      </c>
    </row>
    <row r="1200" spans="1:14" x14ac:dyDescent="0.35">
      <c r="A1200" s="647">
        <v>542005</v>
      </c>
      <c r="B1200" s="647" t="s">
        <v>9102</v>
      </c>
      <c r="C1200" s="647" t="s">
        <v>9103</v>
      </c>
      <c r="D1200" s="647" t="s">
        <v>3628</v>
      </c>
      <c r="E1200" s="647" t="s">
        <v>3584</v>
      </c>
      <c r="F1200" s="647">
        <v>78231</v>
      </c>
      <c r="G1200" s="647" t="s">
        <v>9104</v>
      </c>
      <c r="H1200" s="649"/>
      <c r="I1200" s="649"/>
      <c r="J1200" s="649"/>
      <c r="K1200" s="649"/>
      <c r="L1200" s="649"/>
      <c r="M1200" s="649"/>
      <c r="N1200" s="648" t="e">
        <v>#N/A</v>
      </c>
    </row>
    <row r="1201" spans="1:14" x14ac:dyDescent="0.35">
      <c r="A1201" s="647">
        <v>543001</v>
      </c>
      <c r="B1201" s="647" t="s">
        <v>9105</v>
      </c>
      <c r="C1201" s="647" t="s">
        <v>9106</v>
      </c>
      <c r="D1201" s="647" t="s">
        <v>3640</v>
      </c>
      <c r="E1201" s="647" t="s">
        <v>3641</v>
      </c>
      <c r="F1201" s="647">
        <v>84113</v>
      </c>
      <c r="G1201" s="647" t="s">
        <v>9107</v>
      </c>
      <c r="H1201" s="649"/>
      <c r="I1201" s="649"/>
      <c r="J1201" s="649"/>
      <c r="K1201" s="647" t="s">
        <v>9108</v>
      </c>
      <c r="L1201" s="647" t="s">
        <v>9109</v>
      </c>
      <c r="M1201" s="647" t="s">
        <v>3836</v>
      </c>
      <c r="N1201" s="648" t="e">
        <v>#N/A</v>
      </c>
    </row>
    <row r="1202" spans="1:14" x14ac:dyDescent="0.35">
      <c r="A1202" s="647">
        <v>545001</v>
      </c>
      <c r="B1202" s="647" t="s">
        <v>9110</v>
      </c>
      <c r="C1202" s="647" t="s">
        <v>9111</v>
      </c>
      <c r="D1202" s="647" t="s">
        <v>9112</v>
      </c>
      <c r="E1202" s="647" t="s">
        <v>3648</v>
      </c>
      <c r="F1202" s="647">
        <v>22031</v>
      </c>
      <c r="G1202" s="647" t="s">
        <v>9113</v>
      </c>
      <c r="H1202" s="649"/>
      <c r="I1202" s="649"/>
      <c r="J1202" s="649"/>
      <c r="K1202" s="647" t="s">
        <v>9114</v>
      </c>
      <c r="L1202" s="647" t="s">
        <v>9115</v>
      </c>
      <c r="M1202" s="647" t="s">
        <v>8206</v>
      </c>
      <c r="N1202" s="648" t="e">
        <v>#N/A</v>
      </c>
    </row>
    <row r="1203" spans="1:14" x14ac:dyDescent="0.35">
      <c r="A1203" s="647">
        <v>545002</v>
      </c>
      <c r="B1203" s="647" t="s">
        <v>9116</v>
      </c>
      <c r="C1203" s="647" t="s">
        <v>9117</v>
      </c>
      <c r="D1203" s="647" t="s">
        <v>9118</v>
      </c>
      <c r="E1203" s="647" t="s">
        <v>3648</v>
      </c>
      <c r="F1203" s="647">
        <v>23462</v>
      </c>
      <c r="G1203" s="647" t="s">
        <v>9119</v>
      </c>
      <c r="H1203" s="649"/>
      <c r="I1203" s="649"/>
      <c r="J1203" s="649"/>
      <c r="K1203" s="647" t="s">
        <v>3865</v>
      </c>
      <c r="L1203" s="647" t="s">
        <v>9120</v>
      </c>
      <c r="M1203" s="647" t="s">
        <v>4078</v>
      </c>
      <c r="N1203" s="648" t="e">
        <v>#N/A</v>
      </c>
    </row>
    <row r="1204" spans="1:14" x14ac:dyDescent="0.35">
      <c r="A1204" s="647">
        <v>545003</v>
      </c>
      <c r="B1204" s="647" t="s">
        <v>9121</v>
      </c>
      <c r="C1204" s="647" t="s">
        <v>9122</v>
      </c>
      <c r="D1204" s="647" t="s">
        <v>2524</v>
      </c>
      <c r="E1204" s="647" t="s">
        <v>3648</v>
      </c>
      <c r="F1204" s="647">
        <v>23226</v>
      </c>
      <c r="G1204" s="647" t="s">
        <v>9123</v>
      </c>
      <c r="H1204" s="649"/>
      <c r="I1204" s="649"/>
      <c r="J1204" s="649"/>
      <c r="K1204" s="647" t="s">
        <v>9124</v>
      </c>
      <c r="L1204" s="647" t="s">
        <v>9125</v>
      </c>
      <c r="M1204" s="647" t="s">
        <v>4078</v>
      </c>
      <c r="N1204" s="648" t="e">
        <v>#N/A</v>
      </c>
    </row>
    <row r="1205" spans="1:14" x14ac:dyDescent="0.35">
      <c r="A1205" s="647">
        <v>546001</v>
      </c>
      <c r="B1205" s="647" t="s">
        <v>9126</v>
      </c>
      <c r="C1205" s="647" t="s">
        <v>9127</v>
      </c>
      <c r="D1205" s="647" t="s">
        <v>9128</v>
      </c>
      <c r="E1205" s="647" t="s">
        <v>3694</v>
      </c>
      <c r="F1205" s="647">
        <v>98040</v>
      </c>
      <c r="G1205" s="647" t="s">
        <v>9129</v>
      </c>
      <c r="H1205" s="649"/>
      <c r="I1205" s="649"/>
      <c r="J1205" s="649"/>
      <c r="K1205" s="647" t="s">
        <v>4072</v>
      </c>
      <c r="L1205" s="647" t="s">
        <v>9130</v>
      </c>
      <c r="M1205" s="647" t="s">
        <v>4078</v>
      </c>
      <c r="N1205" s="648" t="e">
        <v>#N/A</v>
      </c>
    </row>
    <row r="1206" spans="1:14" x14ac:dyDescent="0.35">
      <c r="A1206" s="647">
        <v>546002</v>
      </c>
      <c r="B1206" s="647" t="s">
        <v>9131</v>
      </c>
      <c r="C1206" s="647" t="s">
        <v>9132</v>
      </c>
      <c r="D1206" s="647" t="s">
        <v>3711</v>
      </c>
      <c r="E1206" s="647" t="s">
        <v>3694</v>
      </c>
      <c r="F1206" s="647">
        <v>98115</v>
      </c>
      <c r="G1206" s="647" t="s">
        <v>9133</v>
      </c>
      <c r="H1206" s="649"/>
      <c r="I1206" s="649"/>
      <c r="J1206" s="649"/>
      <c r="K1206" s="647" t="s">
        <v>5407</v>
      </c>
      <c r="L1206" s="647" t="s">
        <v>9134</v>
      </c>
      <c r="M1206" s="647" t="s">
        <v>4078</v>
      </c>
      <c r="N1206" s="648" t="e">
        <v>#N/A</v>
      </c>
    </row>
    <row r="1207" spans="1:14" x14ac:dyDescent="0.35">
      <c r="A1207" s="647">
        <v>546003</v>
      </c>
      <c r="B1207" s="647" t="s">
        <v>9135</v>
      </c>
      <c r="C1207" s="647" t="s">
        <v>9136</v>
      </c>
      <c r="D1207" s="647" t="s">
        <v>9137</v>
      </c>
      <c r="E1207" s="647" t="s">
        <v>3694</v>
      </c>
      <c r="F1207" s="647">
        <v>98607</v>
      </c>
      <c r="G1207" s="647" t="s">
        <v>9138</v>
      </c>
      <c r="H1207" s="649"/>
      <c r="I1207" s="649"/>
      <c r="J1207" s="649"/>
      <c r="K1207" s="649"/>
      <c r="L1207" s="649"/>
      <c r="M1207" s="649"/>
      <c r="N1207" s="648" t="e">
        <v>#N/A</v>
      </c>
    </row>
    <row r="1208" spans="1:14" x14ac:dyDescent="0.35">
      <c r="A1208" s="647">
        <v>548001</v>
      </c>
      <c r="B1208" s="647" t="s">
        <v>9139</v>
      </c>
      <c r="C1208" s="647" t="s">
        <v>9140</v>
      </c>
      <c r="D1208" s="647" t="s">
        <v>3774</v>
      </c>
      <c r="E1208" s="647" t="s">
        <v>3741</v>
      </c>
      <c r="F1208" s="647">
        <v>53217</v>
      </c>
      <c r="G1208" s="647" t="s">
        <v>9141</v>
      </c>
      <c r="H1208" s="649"/>
      <c r="I1208" s="649"/>
      <c r="J1208" s="649"/>
      <c r="K1208" s="649"/>
      <c r="L1208" s="649"/>
      <c r="M1208" s="649"/>
      <c r="N1208" s="648" t="e">
        <v>#N/A</v>
      </c>
    </row>
    <row r="1209" spans="1:14" x14ac:dyDescent="0.35">
      <c r="K1209" s="647" t="s">
        <v>4106</v>
      </c>
      <c r="L1209" s="647" t="s">
        <v>9142</v>
      </c>
      <c r="M1209" s="647" t="s">
        <v>8595</v>
      </c>
      <c r="N1209" s="648" t="e">
        <v>#N/A</v>
      </c>
    </row>
    <row r="1210" spans="1:14" x14ac:dyDescent="0.35">
      <c r="K1210" s="649"/>
      <c r="L1210" s="649"/>
      <c r="M1210" s="649"/>
      <c r="N1210" s="649"/>
    </row>
    <row r="1211" spans="1:14" x14ac:dyDescent="0.35">
      <c r="K1211" s="649"/>
      <c r="L1211" s="649"/>
      <c r="M1211" s="649"/>
      <c r="N1211" s="649"/>
    </row>
    <row r="1212" spans="1:14" x14ac:dyDescent="0.35">
      <c r="K1212" s="649"/>
      <c r="L1212" s="649"/>
      <c r="M1212" s="649"/>
      <c r="N1212" s="649"/>
    </row>
    <row r="1213" spans="1:14" x14ac:dyDescent="0.35">
      <c r="K1213" s="649"/>
      <c r="L1213" s="649"/>
      <c r="M1213" s="649"/>
      <c r="N1213" s="649"/>
    </row>
    <row r="1214" spans="1:14" x14ac:dyDescent="0.35">
      <c r="K1214" s="649"/>
      <c r="L1214" s="649"/>
      <c r="M1214" s="649"/>
      <c r="N1214" s="649"/>
    </row>
    <row r="1215" spans="1:14" x14ac:dyDescent="0.35">
      <c r="K1215" s="649"/>
      <c r="L1215" s="649"/>
      <c r="M1215" s="649"/>
      <c r="N1215" s="649"/>
    </row>
    <row r="1216" spans="1:14" x14ac:dyDescent="0.35">
      <c r="K1216" s="649"/>
      <c r="L1216" s="649"/>
      <c r="M1216" s="649"/>
      <c r="N1216" s="649"/>
    </row>
    <row r="1217" spans="11:14" x14ac:dyDescent="0.35">
      <c r="K1217" s="649"/>
      <c r="L1217" s="649"/>
      <c r="M1217" s="649"/>
      <c r="N1217" s="649"/>
    </row>
    <row r="1218" spans="11:14" x14ac:dyDescent="0.35">
      <c r="K1218" s="649"/>
      <c r="L1218" s="649"/>
      <c r="M1218" s="649"/>
      <c r="N1218" s="649"/>
    </row>
    <row r="1219" spans="11:14" x14ac:dyDescent="0.35">
      <c r="K1219" s="649"/>
      <c r="L1219" s="649"/>
      <c r="M1219" s="649"/>
      <c r="N1219" s="649"/>
    </row>
    <row r="1220" spans="11:14" x14ac:dyDescent="0.35">
      <c r="K1220" s="649"/>
      <c r="L1220" s="649"/>
      <c r="M1220" s="649"/>
      <c r="N1220" s="649"/>
    </row>
    <row r="1221" spans="11:14" x14ac:dyDescent="0.35">
      <c r="K1221" s="649"/>
      <c r="L1221" s="649"/>
      <c r="M1221" s="649"/>
      <c r="N1221" s="649"/>
    </row>
    <row r="1222" spans="11:14" x14ac:dyDescent="0.35">
      <c r="K1222" s="649"/>
      <c r="L1222" s="649"/>
      <c r="M1222" s="649"/>
      <c r="N1222" s="649"/>
    </row>
    <row r="1223" spans="11:14" x14ac:dyDescent="0.35">
      <c r="K1223" s="649"/>
      <c r="L1223" s="649"/>
      <c r="M1223" s="649"/>
      <c r="N1223" s="649"/>
    </row>
    <row r="1224" spans="11:14" x14ac:dyDescent="0.35">
      <c r="K1224" s="649"/>
      <c r="L1224" s="649"/>
      <c r="M1224" s="649"/>
      <c r="N1224" s="649"/>
    </row>
    <row r="1225" spans="11:14" x14ac:dyDescent="0.35">
      <c r="K1225" s="649"/>
      <c r="L1225" s="649"/>
      <c r="M1225" s="649"/>
      <c r="N1225" s="649"/>
    </row>
    <row r="1226" spans="11:14" x14ac:dyDescent="0.35">
      <c r="K1226" s="649"/>
      <c r="L1226" s="649"/>
      <c r="M1226" s="649"/>
      <c r="N1226" s="649"/>
    </row>
    <row r="1227" spans="11:14" x14ac:dyDescent="0.35">
      <c r="K1227" s="649"/>
      <c r="L1227" s="649"/>
      <c r="M1227" s="649"/>
      <c r="N1227" s="649"/>
    </row>
    <row r="1228" spans="11:14" x14ac:dyDescent="0.35">
      <c r="K1228" s="649"/>
      <c r="L1228" s="649"/>
      <c r="M1228" s="649"/>
      <c r="N1228" s="649"/>
    </row>
    <row r="1229" spans="11:14" x14ac:dyDescent="0.35">
      <c r="K1229" s="649"/>
      <c r="L1229" s="649"/>
      <c r="M1229" s="649"/>
      <c r="N1229" s="649"/>
    </row>
    <row r="1230" spans="11:14" x14ac:dyDescent="0.35">
      <c r="K1230" s="649"/>
      <c r="L1230" s="649"/>
      <c r="M1230" s="649"/>
      <c r="N1230" s="649"/>
    </row>
    <row r="1231" spans="11:14" x14ac:dyDescent="0.35">
      <c r="K1231" s="649"/>
      <c r="L1231" s="649"/>
      <c r="M1231" s="649"/>
      <c r="N1231" s="649"/>
    </row>
    <row r="1232" spans="11:14" x14ac:dyDescent="0.35">
      <c r="K1232" s="649"/>
      <c r="L1232" s="649"/>
      <c r="M1232" s="649"/>
      <c r="N1232" s="649"/>
    </row>
    <row r="1233" spans="11:14" x14ac:dyDescent="0.35">
      <c r="K1233" s="649"/>
      <c r="L1233" s="649"/>
      <c r="M1233" s="649"/>
      <c r="N1233" s="649"/>
    </row>
    <row r="1234" spans="11:14" x14ac:dyDescent="0.35">
      <c r="K1234" s="649"/>
      <c r="L1234" s="649"/>
      <c r="M1234" s="649"/>
      <c r="N1234" s="649"/>
    </row>
    <row r="1235" spans="11:14" x14ac:dyDescent="0.35">
      <c r="K1235" s="649"/>
      <c r="L1235" s="649"/>
      <c r="M1235" s="649"/>
      <c r="N1235" s="649"/>
    </row>
    <row r="1236" spans="11:14" x14ac:dyDescent="0.35">
      <c r="K1236" s="649"/>
      <c r="L1236" s="649"/>
      <c r="M1236" s="649"/>
      <c r="N1236" s="649"/>
    </row>
    <row r="1237" spans="11:14" x14ac:dyDescent="0.35">
      <c r="K1237" s="649"/>
      <c r="L1237" s="649"/>
      <c r="M1237" s="649"/>
      <c r="N1237" s="649"/>
    </row>
    <row r="1238" spans="11:14" x14ac:dyDescent="0.35">
      <c r="K1238" s="649"/>
      <c r="L1238" s="649"/>
      <c r="M1238" s="649"/>
      <c r="N1238" s="649"/>
    </row>
    <row r="1239" spans="11:14" x14ac:dyDescent="0.35">
      <c r="K1239" s="649"/>
      <c r="L1239" s="649"/>
      <c r="M1239" s="649"/>
      <c r="N1239" s="649"/>
    </row>
    <row r="1240" spans="11:14" x14ac:dyDescent="0.35">
      <c r="K1240" s="649"/>
      <c r="L1240" s="649"/>
      <c r="M1240" s="649"/>
      <c r="N1240" s="649"/>
    </row>
    <row r="1241" spans="11:14" x14ac:dyDescent="0.35">
      <c r="K1241" s="649"/>
      <c r="L1241" s="649"/>
      <c r="M1241" s="649"/>
      <c r="N1241" s="649"/>
    </row>
    <row r="1242" spans="11:14" x14ac:dyDescent="0.35">
      <c r="K1242" s="649"/>
      <c r="L1242" s="649"/>
      <c r="M1242" s="649"/>
      <c r="N1242" s="649"/>
    </row>
    <row r="1243" spans="11:14" x14ac:dyDescent="0.35">
      <c r="K1243" s="649"/>
      <c r="L1243" s="649"/>
      <c r="M1243" s="649"/>
      <c r="N1243" s="649"/>
    </row>
    <row r="1244" spans="11:14" x14ac:dyDescent="0.35">
      <c r="K1244" s="649"/>
      <c r="L1244" s="649"/>
      <c r="M1244" s="649"/>
      <c r="N1244" s="649"/>
    </row>
    <row r="1245" spans="11:14" x14ac:dyDescent="0.35">
      <c r="K1245" s="649"/>
      <c r="L1245" s="649"/>
      <c r="M1245" s="649"/>
      <c r="N1245" s="649"/>
    </row>
    <row r="1246" spans="11:14" x14ac:dyDescent="0.35">
      <c r="K1246" s="649"/>
      <c r="L1246" s="649"/>
      <c r="M1246" s="649"/>
      <c r="N1246" s="649"/>
    </row>
    <row r="1247" spans="11:14" x14ac:dyDescent="0.35">
      <c r="K1247" s="649"/>
      <c r="L1247" s="649"/>
      <c r="M1247" s="649"/>
      <c r="N1247" s="649"/>
    </row>
    <row r="1248" spans="11:14" x14ac:dyDescent="0.35">
      <c r="K1248" s="649"/>
      <c r="L1248" s="649"/>
      <c r="M1248" s="649"/>
      <c r="N1248" s="649"/>
    </row>
    <row r="1249" spans="11:14" x14ac:dyDescent="0.35">
      <c r="K1249" s="649"/>
      <c r="L1249" s="649"/>
      <c r="M1249" s="649"/>
      <c r="N1249" s="649"/>
    </row>
    <row r="1250" spans="11:14" x14ac:dyDescent="0.35">
      <c r="K1250" s="649"/>
      <c r="L1250" s="649"/>
      <c r="M1250" s="649"/>
      <c r="N1250" s="649"/>
    </row>
    <row r="1251" spans="11:14" x14ac:dyDescent="0.35">
      <c r="K1251" s="649"/>
      <c r="L1251" s="649"/>
      <c r="M1251" s="649"/>
      <c r="N1251" s="649"/>
    </row>
    <row r="1252" spans="11:14" x14ac:dyDescent="0.35">
      <c r="K1252" s="649"/>
      <c r="L1252" s="649"/>
      <c r="M1252" s="649"/>
      <c r="N1252" s="649"/>
    </row>
    <row r="1253" spans="11:14" x14ac:dyDescent="0.35">
      <c r="K1253" s="649"/>
      <c r="L1253" s="649"/>
      <c r="M1253" s="649"/>
      <c r="N1253" s="649"/>
    </row>
    <row r="1254" spans="11:14" x14ac:dyDescent="0.35">
      <c r="K1254" s="649"/>
      <c r="L1254" s="649"/>
      <c r="M1254" s="649"/>
      <c r="N1254" s="649"/>
    </row>
    <row r="1255" spans="11:14" x14ac:dyDescent="0.35">
      <c r="K1255" s="649"/>
      <c r="L1255" s="649"/>
      <c r="M1255" s="649"/>
      <c r="N1255" s="649"/>
    </row>
    <row r="1256" spans="11:14" x14ac:dyDescent="0.35">
      <c r="K1256" s="649"/>
      <c r="L1256" s="649"/>
      <c r="M1256" s="649"/>
      <c r="N1256" s="649"/>
    </row>
    <row r="1257" spans="11:14" x14ac:dyDescent="0.35">
      <c r="K1257" s="649"/>
      <c r="L1257" s="649"/>
      <c r="M1257" s="649"/>
      <c r="N1257" s="649"/>
    </row>
    <row r="1258" spans="11:14" x14ac:dyDescent="0.35">
      <c r="K1258" s="649"/>
      <c r="L1258" s="649"/>
      <c r="M1258" s="649"/>
      <c r="N1258" s="649"/>
    </row>
    <row r="1259" spans="11:14" x14ac:dyDescent="0.35">
      <c r="K1259" s="649"/>
      <c r="L1259" s="649"/>
      <c r="M1259" s="649"/>
      <c r="N1259" s="649"/>
    </row>
    <row r="1260" spans="11:14" x14ac:dyDescent="0.35">
      <c r="K1260" s="649"/>
      <c r="L1260" s="649"/>
      <c r="M1260" s="649"/>
      <c r="N1260" s="649"/>
    </row>
    <row r="1261" spans="11:14" x14ac:dyDescent="0.35">
      <c r="K1261" s="649"/>
      <c r="L1261" s="649"/>
      <c r="M1261" s="649"/>
      <c r="N1261" s="649"/>
    </row>
    <row r="1262" spans="11:14" x14ac:dyDescent="0.35">
      <c r="K1262" s="649"/>
      <c r="L1262" s="649"/>
      <c r="M1262" s="649"/>
      <c r="N1262" s="649"/>
    </row>
    <row r="1263" spans="11:14" x14ac:dyDescent="0.35">
      <c r="K1263" s="649"/>
      <c r="L1263" s="649"/>
      <c r="M1263" s="649"/>
      <c r="N1263" s="649"/>
    </row>
    <row r="1264" spans="11:14" x14ac:dyDescent="0.35">
      <c r="K1264" s="649"/>
      <c r="L1264" s="649"/>
      <c r="M1264" s="649"/>
      <c r="N1264" s="649"/>
    </row>
    <row r="1265" spans="11:14" x14ac:dyDescent="0.35">
      <c r="K1265" s="649"/>
      <c r="L1265" s="649"/>
      <c r="M1265" s="649"/>
      <c r="N1265" s="649"/>
    </row>
    <row r="1266" spans="11:14" x14ac:dyDescent="0.35">
      <c r="K1266" s="649"/>
      <c r="L1266" s="649"/>
      <c r="M1266" s="649"/>
      <c r="N1266" s="649"/>
    </row>
    <row r="1267" spans="11:14" x14ac:dyDescent="0.35">
      <c r="K1267" s="649"/>
      <c r="L1267" s="649"/>
      <c r="M1267" s="649"/>
      <c r="N1267" s="649"/>
    </row>
    <row r="1268" spans="11:14" x14ac:dyDescent="0.35">
      <c r="K1268" s="649"/>
      <c r="L1268" s="649"/>
      <c r="M1268" s="649"/>
      <c r="N1268" s="649"/>
    </row>
    <row r="1269" spans="11:14" x14ac:dyDescent="0.35">
      <c r="K1269" s="649"/>
      <c r="L1269" s="649"/>
      <c r="M1269" s="649"/>
      <c r="N1269" s="649"/>
    </row>
    <row r="1270" spans="11:14" x14ac:dyDescent="0.35">
      <c r="K1270" s="649"/>
      <c r="L1270" s="649"/>
      <c r="M1270" s="649"/>
      <c r="N1270" s="649"/>
    </row>
    <row r="1271" spans="11:14" x14ac:dyDescent="0.35">
      <c r="K1271" s="649"/>
      <c r="L1271" s="649"/>
      <c r="M1271" s="649"/>
      <c r="N1271" s="649"/>
    </row>
    <row r="1272" spans="11:14" x14ac:dyDescent="0.35">
      <c r="K1272" s="649"/>
      <c r="L1272" s="649"/>
      <c r="M1272" s="649"/>
      <c r="N1272" s="649"/>
    </row>
    <row r="1273" spans="11:14" x14ac:dyDescent="0.35">
      <c r="K1273" s="649"/>
      <c r="L1273" s="649"/>
      <c r="M1273" s="649"/>
      <c r="N1273" s="649"/>
    </row>
    <row r="1274" spans="11:14" x14ac:dyDescent="0.35">
      <c r="K1274" s="649"/>
      <c r="L1274" s="649"/>
      <c r="M1274" s="649"/>
      <c r="N1274" s="649"/>
    </row>
    <row r="1275" spans="11:14" x14ac:dyDescent="0.35">
      <c r="K1275" s="649"/>
      <c r="L1275" s="649"/>
      <c r="M1275" s="649"/>
      <c r="N1275" s="649"/>
    </row>
    <row r="1276" spans="11:14" x14ac:dyDescent="0.35">
      <c r="K1276" s="649"/>
      <c r="L1276" s="649"/>
      <c r="M1276" s="649"/>
      <c r="N1276" s="649"/>
    </row>
    <row r="1277" spans="11:14" x14ac:dyDescent="0.35">
      <c r="K1277" s="649"/>
      <c r="L1277" s="649"/>
      <c r="M1277" s="649"/>
      <c r="N1277" s="649"/>
    </row>
    <row r="1278" spans="11:14" x14ac:dyDescent="0.35">
      <c r="K1278" s="649"/>
      <c r="L1278" s="649"/>
      <c r="M1278" s="649"/>
      <c r="N1278" s="649"/>
    </row>
    <row r="1279" spans="11:14" x14ac:dyDescent="0.35">
      <c r="K1279" s="649"/>
      <c r="L1279" s="649"/>
      <c r="M1279" s="649"/>
      <c r="N1279" s="649"/>
    </row>
    <row r="1280" spans="11:14" x14ac:dyDescent="0.35">
      <c r="K1280" s="649"/>
      <c r="L1280" s="649"/>
      <c r="M1280" s="649"/>
      <c r="N1280" s="649"/>
    </row>
    <row r="1281" spans="11:14" x14ac:dyDescent="0.35">
      <c r="K1281" s="649"/>
      <c r="L1281" s="649"/>
      <c r="M1281" s="649"/>
      <c r="N1281" s="649"/>
    </row>
    <row r="1282" spans="11:14" x14ac:dyDescent="0.35">
      <c r="K1282" s="649"/>
      <c r="L1282" s="649"/>
      <c r="M1282" s="649"/>
      <c r="N1282" s="649"/>
    </row>
    <row r="1283" spans="11:14" x14ac:dyDescent="0.35">
      <c r="K1283" s="649"/>
      <c r="L1283" s="649"/>
      <c r="M1283" s="649"/>
      <c r="N1283" s="649"/>
    </row>
    <row r="1284" spans="11:14" x14ac:dyDescent="0.35">
      <c r="K1284" s="649"/>
      <c r="L1284" s="649"/>
      <c r="M1284" s="649"/>
      <c r="N1284" s="649"/>
    </row>
    <row r="1285" spans="11:14" x14ac:dyDescent="0.35">
      <c r="K1285" s="649"/>
      <c r="L1285" s="649"/>
      <c r="M1285" s="649"/>
      <c r="N1285" s="649"/>
    </row>
    <row r="1286" spans="11:14" x14ac:dyDescent="0.35">
      <c r="K1286" s="649"/>
      <c r="L1286" s="649"/>
      <c r="M1286" s="649"/>
      <c r="N1286" s="649"/>
    </row>
    <row r="1287" spans="11:14" x14ac:dyDescent="0.35">
      <c r="K1287" s="649"/>
      <c r="L1287" s="649"/>
      <c r="M1287" s="649"/>
      <c r="N1287" s="649"/>
    </row>
    <row r="1288" spans="11:14" x14ac:dyDescent="0.35">
      <c r="K1288" s="649"/>
      <c r="L1288" s="649"/>
      <c r="M1288" s="649"/>
      <c r="N1288" s="649"/>
    </row>
    <row r="1289" spans="11:14" x14ac:dyDescent="0.35">
      <c r="K1289" s="649"/>
      <c r="L1289" s="649"/>
      <c r="M1289" s="649"/>
      <c r="N1289" s="649"/>
    </row>
    <row r="1290" spans="11:14" x14ac:dyDescent="0.35">
      <c r="K1290" s="649"/>
      <c r="L1290" s="649"/>
      <c r="M1290" s="649"/>
      <c r="N1290" s="649"/>
    </row>
    <row r="1291" spans="11:14" x14ac:dyDescent="0.35">
      <c r="K1291" s="649"/>
      <c r="L1291" s="649"/>
      <c r="M1291" s="649"/>
      <c r="N1291" s="649"/>
    </row>
    <row r="1292" spans="11:14" x14ac:dyDescent="0.35">
      <c r="K1292" s="649"/>
      <c r="L1292" s="649"/>
      <c r="M1292" s="649"/>
      <c r="N1292" s="649"/>
    </row>
    <row r="1293" spans="11:14" x14ac:dyDescent="0.35">
      <c r="K1293" s="649"/>
      <c r="L1293" s="649"/>
      <c r="M1293" s="649"/>
      <c r="N1293" s="649"/>
    </row>
    <row r="1294" spans="11:14" x14ac:dyDescent="0.35">
      <c r="K1294" s="649"/>
      <c r="L1294" s="649"/>
      <c r="M1294" s="649"/>
      <c r="N1294" s="649"/>
    </row>
    <row r="1295" spans="11:14" x14ac:dyDescent="0.35">
      <c r="K1295" s="649"/>
      <c r="L1295" s="649"/>
      <c r="M1295" s="649"/>
      <c r="N1295" s="649"/>
    </row>
    <row r="1296" spans="11:14" x14ac:dyDescent="0.35">
      <c r="K1296" s="649"/>
      <c r="L1296" s="649"/>
      <c r="M1296" s="649"/>
      <c r="N1296" s="649"/>
    </row>
    <row r="1297" spans="11:14" x14ac:dyDescent="0.35">
      <c r="K1297" s="649"/>
      <c r="L1297" s="649"/>
      <c r="M1297" s="649"/>
      <c r="N1297" s="649"/>
    </row>
    <row r="1298" spans="11:14" x14ac:dyDescent="0.35">
      <c r="K1298" s="649"/>
      <c r="L1298" s="649"/>
      <c r="M1298" s="649"/>
      <c r="N1298" s="649"/>
    </row>
    <row r="1299" spans="11:14" x14ac:dyDescent="0.35">
      <c r="K1299" s="649"/>
      <c r="L1299" s="649"/>
      <c r="M1299" s="649"/>
      <c r="N1299" s="649"/>
    </row>
    <row r="1300" spans="11:14" x14ac:dyDescent="0.35">
      <c r="K1300" s="649"/>
      <c r="L1300" s="649"/>
      <c r="M1300" s="649"/>
      <c r="N1300" s="649"/>
    </row>
    <row r="1301" spans="11:14" x14ac:dyDescent="0.35">
      <c r="K1301" s="649"/>
      <c r="L1301" s="649"/>
      <c r="M1301" s="649"/>
      <c r="N1301" s="649"/>
    </row>
    <row r="1302" spans="11:14" x14ac:dyDescent="0.35">
      <c r="K1302" s="649"/>
      <c r="L1302" s="649"/>
      <c r="M1302" s="649"/>
      <c r="N1302" s="649"/>
    </row>
    <row r="1303" spans="11:14" x14ac:dyDescent="0.35">
      <c r="K1303" s="649"/>
      <c r="L1303" s="649"/>
      <c r="M1303" s="649"/>
      <c r="N1303" s="649"/>
    </row>
    <row r="1304" spans="11:14" x14ac:dyDescent="0.35">
      <c r="K1304" s="649"/>
      <c r="L1304" s="649"/>
      <c r="M1304" s="649"/>
      <c r="N1304" s="649"/>
    </row>
    <row r="1305" spans="11:14" x14ac:dyDescent="0.35">
      <c r="K1305" s="649"/>
      <c r="L1305" s="649"/>
      <c r="M1305" s="649"/>
      <c r="N1305" s="649"/>
    </row>
    <row r="1306" spans="11:14" x14ac:dyDescent="0.35">
      <c r="K1306" s="649"/>
      <c r="L1306" s="649"/>
      <c r="M1306" s="649"/>
      <c r="N1306" s="649"/>
    </row>
    <row r="1307" spans="11:14" x14ac:dyDescent="0.35">
      <c r="K1307" s="649"/>
      <c r="L1307" s="649"/>
      <c r="M1307" s="649"/>
      <c r="N1307" s="649"/>
    </row>
    <row r="1308" spans="11:14" x14ac:dyDescent="0.35">
      <c r="K1308" s="649"/>
      <c r="L1308" s="649"/>
      <c r="M1308" s="649"/>
      <c r="N1308" s="649"/>
    </row>
    <row r="1309" spans="11:14" x14ac:dyDescent="0.35">
      <c r="K1309" s="649"/>
      <c r="L1309" s="649"/>
      <c r="M1309" s="649"/>
      <c r="N1309" s="649"/>
    </row>
    <row r="1310" spans="11:14" x14ac:dyDescent="0.35">
      <c r="K1310" s="649"/>
      <c r="L1310" s="649"/>
      <c r="M1310" s="649"/>
      <c r="N1310" s="649"/>
    </row>
    <row r="1311" spans="11:14" x14ac:dyDescent="0.35">
      <c r="K1311" s="649"/>
      <c r="L1311" s="649"/>
      <c r="M1311" s="649"/>
      <c r="N1311" s="649"/>
    </row>
    <row r="1312" spans="11:14" x14ac:dyDescent="0.35">
      <c r="K1312" s="649"/>
      <c r="L1312" s="649"/>
      <c r="M1312" s="649"/>
      <c r="N1312" s="649"/>
    </row>
    <row r="1313" spans="11:14" x14ac:dyDescent="0.35">
      <c r="K1313" s="649"/>
      <c r="L1313" s="649"/>
      <c r="M1313" s="649"/>
      <c r="N1313" s="649"/>
    </row>
    <row r="1314" spans="11:14" x14ac:dyDescent="0.35">
      <c r="K1314" s="649"/>
      <c r="L1314" s="649"/>
      <c r="M1314" s="649"/>
      <c r="N1314" s="649"/>
    </row>
    <row r="1315" spans="11:14" x14ac:dyDescent="0.35">
      <c r="K1315" s="647" t="s">
        <v>5074</v>
      </c>
      <c r="L1315" s="647" t="s">
        <v>9143</v>
      </c>
      <c r="M1315" s="647" t="s">
        <v>3826</v>
      </c>
      <c r="N1315" s="647"/>
    </row>
    <row r="1316" spans="11:14" x14ac:dyDescent="0.35">
      <c r="K1316" s="649"/>
      <c r="L1316" s="649"/>
      <c r="M1316" s="649"/>
      <c r="N1316" s="649"/>
    </row>
    <row r="1317" spans="11:14" x14ac:dyDescent="0.35">
      <c r="K1317" s="649"/>
      <c r="L1317" s="649"/>
      <c r="M1317" s="649"/>
      <c r="N1317" s="649"/>
    </row>
    <row r="1318" spans="11:14" x14ac:dyDescent="0.35">
      <c r="K1318" s="649"/>
      <c r="L1318" s="649"/>
      <c r="M1318" s="649"/>
      <c r="N1318" s="649"/>
    </row>
    <row r="1319" spans="11:14" x14ac:dyDescent="0.35">
      <c r="K1319" s="649"/>
      <c r="L1319" s="649"/>
      <c r="M1319" s="649"/>
      <c r="N1319" s="649"/>
    </row>
    <row r="1320" spans="11:14" x14ac:dyDescent="0.35">
      <c r="K1320" s="649"/>
      <c r="L1320" s="649"/>
      <c r="M1320" s="649"/>
      <c r="N1320" s="649"/>
    </row>
    <row r="1321" spans="11:14" x14ac:dyDescent="0.35">
      <c r="K1321" s="649"/>
      <c r="L1321" s="649"/>
      <c r="M1321" s="649"/>
      <c r="N1321" s="649"/>
    </row>
    <row r="1322" spans="11:14" x14ac:dyDescent="0.35">
      <c r="K1322" s="649"/>
      <c r="L1322" s="649"/>
      <c r="M1322" s="649"/>
      <c r="N1322" s="649"/>
    </row>
    <row r="1323" spans="11:14" x14ac:dyDescent="0.35">
      <c r="K1323" s="649"/>
      <c r="L1323" s="649"/>
      <c r="M1323" s="649"/>
      <c r="N1323" s="649"/>
    </row>
    <row r="1324" spans="11:14" x14ac:dyDescent="0.35">
      <c r="K1324" s="649"/>
      <c r="L1324" s="649"/>
      <c r="M1324" s="649"/>
      <c r="N1324" s="649"/>
    </row>
    <row r="1325" spans="11:14" x14ac:dyDescent="0.35">
      <c r="K1325" s="649"/>
      <c r="L1325" s="649"/>
      <c r="M1325" s="649"/>
      <c r="N1325" s="649"/>
    </row>
    <row r="1326" spans="11:14" x14ac:dyDescent="0.35">
      <c r="K1326" s="649"/>
      <c r="L1326" s="649"/>
      <c r="M1326" s="649"/>
      <c r="N1326" s="649"/>
    </row>
    <row r="1327" spans="11:14" x14ac:dyDescent="0.35">
      <c r="K1327" s="649"/>
      <c r="L1327" s="649"/>
      <c r="M1327" s="649"/>
      <c r="N1327" s="649"/>
    </row>
    <row r="1328" spans="11:14" x14ac:dyDescent="0.35">
      <c r="K1328" s="649"/>
      <c r="L1328" s="649"/>
      <c r="M1328" s="649"/>
      <c r="N1328" s="649"/>
    </row>
    <row r="1329" spans="11:14" x14ac:dyDescent="0.35">
      <c r="K1329" s="649"/>
      <c r="L1329" s="649"/>
      <c r="M1329" s="649"/>
      <c r="N1329" s="649"/>
    </row>
    <row r="1330" spans="11:14" x14ac:dyDescent="0.35">
      <c r="K1330" s="649"/>
      <c r="L1330" s="649"/>
      <c r="M1330" s="649"/>
      <c r="N1330" s="649"/>
    </row>
    <row r="1331" spans="11:14" x14ac:dyDescent="0.35">
      <c r="K1331" s="649"/>
      <c r="L1331" s="649"/>
      <c r="M1331" s="649"/>
      <c r="N1331" s="649"/>
    </row>
    <row r="1332" spans="11:14" x14ac:dyDescent="0.35">
      <c r="K1332" s="649"/>
      <c r="L1332" s="649"/>
      <c r="M1332" s="649"/>
      <c r="N1332" s="649"/>
    </row>
    <row r="1333" spans="11:14" x14ac:dyDescent="0.35">
      <c r="K1333" s="649"/>
      <c r="L1333" s="649"/>
      <c r="M1333" s="649"/>
      <c r="N1333" s="649"/>
    </row>
    <row r="1334" spans="11:14" x14ac:dyDescent="0.35">
      <c r="K1334" s="649"/>
      <c r="L1334" s="649"/>
      <c r="M1334" s="649"/>
      <c r="N1334" s="649"/>
    </row>
    <row r="1335" spans="11:14" x14ac:dyDescent="0.35">
      <c r="K1335" s="649"/>
      <c r="L1335" s="649"/>
      <c r="M1335" s="649"/>
      <c r="N1335" s="649"/>
    </row>
    <row r="1336" spans="11:14" x14ac:dyDescent="0.35">
      <c r="K1336" s="649"/>
      <c r="L1336" s="649"/>
      <c r="M1336" s="649"/>
      <c r="N1336" s="649"/>
    </row>
    <row r="1337" spans="11:14" x14ac:dyDescent="0.35">
      <c r="K1337" s="649"/>
      <c r="L1337" s="649"/>
      <c r="M1337" s="649"/>
      <c r="N1337" s="649"/>
    </row>
    <row r="1338" spans="11:14" x14ac:dyDescent="0.35">
      <c r="K1338" s="649"/>
      <c r="L1338" s="649"/>
      <c r="M1338" s="649"/>
      <c r="N1338" s="649"/>
    </row>
    <row r="1339" spans="11:14" x14ac:dyDescent="0.35">
      <c r="K1339" s="649"/>
      <c r="L1339" s="649"/>
      <c r="M1339" s="649"/>
      <c r="N1339" s="649"/>
    </row>
    <row r="1340" spans="11:14" x14ac:dyDescent="0.35">
      <c r="K1340" s="649"/>
      <c r="L1340" s="649"/>
      <c r="M1340" s="649"/>
      <c r="N1340" s="649"/>
    </row>
    <row r="1341" spans="11:14" x14ac:dyDescent="0.35">
      <c r="K1341" s="649"/>
      <c r="L1341" s="649"/>
      <c r="M1341" s="649"/>
      <c r="N1341" s="649"/>
    </row>
    <row r="1342" spans="11:14" x14ac:dyDescent="0.35">
      <c r="K1342" s="649"/>
      <c r="L1342" s="649"/>
      <c r="M1342" s="649"/>
      <c r="N1342" s="649"/>
    </row>
    <row r="1343" spans="11:14" x14ac:dyDescent="0.35">
      <c r="K1343" s="649"/>
      <c r="L1343" s="649"/>
      <c r="M1343" s="649"/>
      <c r="N1343" s="649"/>
    </row>
    <row r="1344" spans="11:14" x14ac:dyDescent="0.35">
      <c r="K1344" s="649"/>
      <c r="L1344" s="649"/>
      <c r="M1344" s="649"/>
      <c r="N1344" s="649"/>
    </row>
    <row r="1345" spans="11:14" x14ac:dyDescent="0.35">
      <c r="K1345" s="649"/>
      <c r="L1345" s="649"/>
      <c r="M1345" s="649"/>
      <c r="N1345" s="649"/>
    </row>
    <row r="1346" spans="11:14" x14ac:dyDescent="0.35">
      <c r="K1346" s="649"/>
      <c r="L1346" s="649"/>
      <c r="M1346" s="649"/>
      <c r="N1346" s="649"/>
    </row>
    <row r="1347" spans="11:14" x14ac:dyDescent="0.35">
      <c r="K1347" s="649"/>
      <c r="L1347" s="649"/>
      <c r="M1347" s="649"/>
      <c r="N1347" s="649"/>
    </row>
    <row r="1348" spans="11:14" x14ac:dyDescent="0.35">
      <c r="K1348" s="649"/>
      <c r="L1348" s="649"/>
      <c r="M1348" s="649"/>
      <c r="N1348" s="649"/>
    </row>
    <row r="1349" spans="11:14" x14ac:dyDescent="0.35">
      <c r="K1349" s="649"/>
      <c r="L1349" s="649"/>
      <c r="M1349" s="649"/>
      <c r="N1349" s="649"/>
    </row>
    <row r="1350" spans="11:14" x14ac:dyDescent="0.35">
      <c r="K1350" s="649"/>
      <c r="L1350" s="649"/>
      <c r="M1350" s="649"/>
      <c r="N1350" s="649"/>
    </row>
    <row r="1351" spans="11:14" x14ac:dyDescent="0.35">
      <c r="K1351" s="649"/>
      <c r="L1351" s="649"/>
      <c r="M1351" s="649"/>
      <c r="N1351" s="649"/>
    </row>
    <row r="1352" spans="11:14" x14ac:dyDescent="0.35">
      <c r="K1352" s="649"/>
      <c r="L1352" s="649"/>
      <c r="M1352" s="649"/>
      <c r="N1352" s="649"/>
    </row>
    <row r="1353" spans="11:14" x14ac:dyDescent="0.35">
      <c r="K1353" s="649"/>
      <c r="L1353" s="649"/>
      <c r="M1353" s="649"/>
      <c r="N1353" s="649"/>
    </row>
    <row r="1354" spans="11:14" x14ac:dyDescent="0.35">
      <c r="K1354" s="649"/>
      <c r="L1354" s="649"/>
      <c r="M1354" s="649"/>
      <c r="N1354" s="649"/>
    </row>
    <row r="1355" spans="11:14" x14ac:dyDescent="0.35">
      <c r="K1355" s="649"/>
      <c r="L1355" s="649"/>
      <c r="M1355" s="649"/>
      <c r="N1355" s="649"/>
    </row>
    <row r="1356" spans="11:14" x14ac:dyDescent="0.35">
      <c r="K1356" s="649"/>
      <c r="L1356" s="649"/>
      <c r="M1356" s="649"/>
      <c r="N1356" s="649"/>
    </row>
    <row r="1357" spans="11:14" x14ac:dyDescent="0.35">
      <c r="K1357" s="649"/>
      <c r="L1357" s="649"/>
      <c r="M1357" s="649"/>
      <c r="N1357" s="649"/>
    </row>
    <row r="1358" spans="11:14" x14ac:dyDescent="0.35">
      <c r="K1358" s="649"/>
      <c r="L1358" s="649"/>
      <c r="M1358" s="649"/>
      <c r="N1358" s="649"/>
    </row>
    <row r="1359" spans="11:14" x14ac:dyDescent="0.35">
      <c r="K1359" s="649"/>
      <c r="L1359" s="649"/>
      <c r="M1359" s="649"/>
      <c r="N1359" s="649"/>
    </row>
    <row r="1360" spans="11:14" x14ac:dyDescent="0.35">
      <c r="K1360" s="649"/>
      <c r="L1360" s="649"/>
      <c r="M1360" s="649"/>
      <c r="N1360" s="649"/>
    </row>
    <row r="1361" spans="11:14" x14ac:dyDescent="0.35">
      <c r="K1361" s="649"/>
      <c r="L1361" s="649"/>
      <c r="M1361" s="649"/>
      <c r="N1361" s="649"/>
    </row>
    <row r="1362" spans="11:14" x14ac:dyDescent="0.35">
      <c r="K1362" s="649"/>
      <c r="L1362" s="649"/>
      <c r="M1362" s="649"/>
      <c r="N1362" s="649"/>
    </row>
    <row r="1363" spans="11:14" x14ac:dyDescent="0.35">
      <c r="K1363" s="649"/>
      <c r="L1363" s="649"/>
      <c r="M1363" s="649"/>
      <c r="N1363" s="649"/>
    </row>
    <row r="1364" spans="11:14" x14ac:dyDescent="0.35">
      <c r="K1364" s="649"/>
      <c r="L1364" s="649"/>
      <c r="M1364" s="649"/>
      <c r="N1364" s="649"/>
    </row>
    <row r="1365" spans="11:14" x14ac:dyDescent="0.35">
      <c r="K1365" s="649"/>
      <c r="L1365" s="649"/>
      <c r="M1365" s="649"/>
      <c r="N1365" s="649"/>
    </row>
    <row r="1366" spans="11:14" x14ac:dyDescent="0.35">
      <c r="K1366" s="649"/>
      <c r="L1366" s="649"/>
      <c r="M1366" s="649"/>
      <c r="N1366" s="649"/>
    </row>
    <row r="1367" spans="11:14" x14ac:dyDescent="0.35">
      <c r="K1367" s="649"/>
      <c r="L1367" s="649"/>
      <c r="M1367" s="649"/>
      <c r="N1367" s="649"/>
    </row>
    <row r="1368" spans="11:14" x14ac:dyDescent="0.35">
      <c r="K1368" s="649"/>
      <c r="L1368" s="649"/>
      <c r="M1368" s="649"/>
      <c r="N1368" s="649"/>
    </row>
    <row r="1369" spans="11:14" x14ac:dyDescent="0.35">
      <c r="K1369" s="649"/>
      <c r="L1369" s="649"/>
      <c r="M1369" s="649"/>
      <c r="N1369" s="649"/>
    </row>
    <row r="1370" spans="11:14" x14ac:dyDescent="0.35">
      <c r="K1370" s="649"/>
      <c r="L1370" s="649"/>
      <c r="M1370" s="649"/>
      <c r="N1370" s="649"/>
    </row>
    <row r="1371" spans="11:14" x14ac:dyDescent="0.35">
      <c r="K1371" s="649"/>
      <c r="L1371" s="649"/>
      <c r="M1371" s="649"/>
      <c r="N1371" s="649"/>
    </row>
    <row r="1372" spans="11:14" x14ac:dyDescent="0.35">
      <c r="K1372" s="649"/>
      <c r="L1372" s="649"/>
      <c r="M1372" s="649"/>
      <c r="N1372" s="649"/>
    </row>
    <row r="1373" spans="11:14" x14ac:dyDescent="0.35">
      <c r="K1373" s="649"/>
      <c r="L1373" s="649"/>
      <c r="M1373" s="649"/>
      <c r="N1373" s="649"/>
    </row>
    <row r="1374" spans="11:14" x14ac:dyDescent="0.35">
      <c r="K1374" s="649"/>
      <c r="L1374" s="649"/>
      <c r="M1374" s="649"/>
      <c r="N1374" s="649"/>
    </row>
    <row r="1375" spans="11:14" x14ac:dyDescent="0.35">
      <c r="K1375" s="649"/>
      <c r="L1375" s="649"/>
      <c r="M1375" s="649"/>
      <c r="N1375" s="649"/>
    </row>
    <row r="1376" spans="11:14" x14ac:dyDescent="0.35">
      <c r="K1376" s="647" t="s">
        <v>4488</v>
      </c>
      <c r="L1376" s="647" t="s">
        <v>5664</v>
      </c>
      <c r="M1376" s="647" t="s">
        <v>3826</v>
      </c>
      <c r="N1376" s="647"/>
    </row>
    <row r="1377" spans="11:14" x14ac:dyDescent="0.35">
      <c r="K1377" s="649"/>
      <c r="L1377" s="649"/>
      <c r="M1377" s="649"/>
      <c r="N1377" s="649"/>
    </row>
    <row r="1378" spans="11:14" x14ac:dyDescent="0.35">
      <c r="K1378" s="649"/>
      <c r="L1378" s="649"/>
      <c r="M1378" s="649"/>
      <c r="N1378" s="649"/>
    </row>
    <row r="1379" spans="11:14" x14ac:dyDescent="0.35">
      <c r="K1379" s="649"/>
      <c r="L1379" s="649"/>
      <c r="M1379" s="649"/>
      <c r="N1379" s="649"/>
    </row>
    <row r="1380" spans="11:14" x14ac:dyDescent="0.35">
      <c r="K1380" s="649"/>
      <c r="L1380" s="649"/>
      <c r="M1380" s="649"/>
      <c r="N1380" s="649"/>
    </row>
    <row r="1381" spans="11:14" x14ac:dyDescent="0.35">
      <c r="K1381" s="649"/>
      <c r="L1381" s="649"/>
      <c r="M1381" s="649"/>
      <c r="N1381" s="649"/>
    </row>
    <row r="1382" spans="11:14" x14ac:dyDescent="0.35">
      <c r="K1382" s="649"/>
      <c r="L1382" s="649"/>
      <c r="M1382" s="649"/>
      <c r="N1382" s="649"/>
    </row>
    <row r="1383" spans="11:14" x14ac:dyDescent="0.35">
      <c r="K1383" s="649"/>
      <c r="L1383" s="649"/>
      <c r="M1383" s="649"/>
      <c r="N1383" s="649"/>
    </row>
    <row r="1384" spans="11:14" x14ac:dyDescent="0.35">
      <c r="K1384" s="649"/>
      <c r="L1384" s="649"/>
      <c r="M1384" s="649"/>
      <c r="N1384" s="649"/>
    </row>
    <row r="1385" spans="11:14" x14ac:dyDescent="0.35">
      <c r="K1385" s="649"/>
      <c r="L1385" s="649"/>
      <c r="M1385" s="649"/>
      <c r="N1385" s="649"/>
    </row>
    <row r="1386" spans="11:14" x14ac:dyDescent="0.35">
      <c r="K1386" s="649"/>
      <c r="L1386" s="649"/>
      <c r="M1386" s="649"/>
      <c r="N1386" s="649"/>
    </row>
    <row r="1387" spans="11:14" x14ac:dyDescent="0.35">
      <c r="K1387" s="649"/>
      <c r="L1387" s="649"/>
      <c r="M1387" s="649"/>
      <c r="N1387" s="649"/>
    </row>
    <row r="1388" spans="11:14" x14ac:dyDescent="0.35">
      <c r="K1388" s="649"/>
      <c r="L1388" s="649"/>
      <c r="M1388" s="649"/>
      <c r="N1388" s="649"/>
    </row>
    <row r="1389" spans="11:14" x14ac:dyDescent="0.35">
      <c r="K1389" s="649"/>
      <c r="L1389" s="649"/>
      <c r="M1389" s="649"/>
      <c r="N1389" s="649"/>
    </row>
    <row r="1390" spans="11:14" x14ac:dyDescent="0.35">
      <c r="K1390" s="649"/>
      <c r="L1390" s="649"/>
      <c r="M1390" s="649"/>
      <c r="N1390" s="649"/>
    </row>
    <row r="1391" spans="11:14" x14ac:dyDescent="0.35">
      <c r="K1391" s="649"/>
      <c r="L1391" s="649"/>
      <c r="M1391" s="649"/>
      <c r="N1391" s="649"/>
    </row>
    <row r="1392" spans="11:14" x14ac:dyDescent="0.35">
      <c r="K1392" s="649"/>
      <c r="L1392" s="649"/>
      <c r="M1392" s="649"/>
      <c r="N1392" s="649"/>
    </row>
    <row r="1393" spans="11:14" x14ac:dyDescent="0.35">
      <c r="K1393" s="649"/>
      <c r="L1393" s="649"/>
      <c r="M1393" s="649"/>
      <c r="N1393" s="649"/>
    </row>
    <row r="1394" spans="11:14" x14ac:dyDescent="0.35">
      <c r="K1394" s="649"/>
      <c r="L1394" s="649"/>
      <c r="M1394" s="649"/>
      <c r="N1394" s="649"/>
    </row>
    <row r="1395" spans="11:14" x14ac:dyDescent="0.35">
      <c r="K1395" s="649"/>
      <c r="L1395" s="649"/>
      <c r="M1395" s="649"/>
      <c r="N1395" s="649"/>
    </row>
    <row r="1396" spans="11:14" x14ac:dyDescent="0.35">
      <c r="K1396" s="649"/>
      <c r="L1396" s="649"/>
      <c r="M1396" s="649"/>
      <c r="N1396" s="649"/>
    </row>
    <row r="1397" spans="11:14" x14ac:dyDescent="0.35">
      <c r="K1397" s="649"/>
      <c r="L1397" s="649"/>
      <c r="M1397" s="649"/>
      <c r="N1397" s="649"/>
    </row>
    <row r="1398" spans="11:14" x14ac:dyDescent="0.35">
      <c r="K1398" s="649"/>
      <c r="L1398" s="649"/>
      <c r="M1398" s="649"/>
      <c r="N1398" s="649"/>
    </row>
    <row r="1399" spans="11:14" x14ac:dyDescent="0.35">
      <c r="K1399" s="649"/>
      <c r="L1399" s="649"/>
      <c r="M1399" s="649"/>
      <c r="N1399" s="649"/>
    </row>
    <row r="1400" spans="11:14" x14ac:dyDescent="0.35">
      <c r="K1400" s="649"/>
      <c r="L1400" s="649"/>
      <c r="M1400" s="649"/>
      <c r="N1400" s="649"/>
    </row>
    <row r="1401" spans="11:14" x14ac:dyDescent="0.35">
      <c r="K1401" s="649"/>
      <c r="L1401" s="649"/>
      <c r="M1401" s="649"/>
      <c r="N1401" s="649"/>
    </row>
    <row r="1402" spans="11:14" x14ac:dyDescent="0.35">
      <c r="K1402" s="649"/>
      <c r="L1402" s="649"/>
      <c r="M1402" s="649"/>
      <c r="N1402" s="649"/>
    </row>
    <row r="1403" spans="11:14" x14ac:dyDescent="0.35">
      <c r="K1403" s="649"/>
      <c r="L1403" s="649"/>
      <c r="M1403" s="649"/>
      <c r="N1403" s="649"/>
    </row>
    <row r="1404" spans="11:14" x14ac:dyDescent="0.35">
      <c r="K1404" s="649"/>
      <c r="L1404" s="649"/>
      <c r="M1404" s="649"/>
      <c r="N1404" s="649"/>
    </row>
    <row r="1405" spans="11:14" x14ac:dyDescent="0.35">
      <c r="K1405" s="649"/>
      <c r="L1405" s="649"/>
      <c r="M1405" s="649"/>
      <c r="N1405" s="649"/>
    </row>
    <row r="1406" spans="11:14" x14ac:dyDescent="0.35">
      <c r="K1406" s="649"/>
      <c r="L1406" s="649"/>
      <c r="M1406" s="649"/>
      <c r="N1406" s="649"/>
    </row>
    <row r="1407" spans="11:14" x14ac:dyDescent="0.35">
      <c r="K1407" s="649"/>
      <c r="L1407" s="649"/>
      <c r="M1407" s="649"/>
      <c r="N1407" s="649"/>
    </row>
    <row r="1408" spans="11:14" x14ac:dyDescent="0.35">
      <c r="K1408" s="649"/>
      <c r="L1408" s="649"/>
      <c r="M1408" s="649"/>
      <c r="N1408" s="649"/>
    </row>
    <row r="1409" spans="11:14" x14ac:dyDescent="0.35">
      <c r="K1409" s="649"/>
      <c r="L1409" s="649"/>
      <c r="M1409" s="649"/>
      <c r="N1409" s="649"/>
    </row>
    <row r="1410" spans="11:14" x14ac:dyDescent="0.35">
      <c r="K1410" s="649"/>
      <c r="L1410" s="649"/>
      <c r="M1410" s="649"/>
      <c r="N1410" s="649"/>
    </row>
    <row r="1411" spans="11:14" x14ac:dyDescent="0.35">
      <c r="K1411" s="649"/>
      <c r="L1411" s="649"/>
      <c r="M1411" s="649"/>
      <c r="N1411" s="649"/>
    </row>
    <row r="1412" spans="11:14" x14ac:dyDescent="0.35">
      <c r="K1412" s="649"/>
      <c r="L1412" s="649"/>
      <c r="M1412" s="649"/>
      <c r="N1412" s="649"/>
    </row>
    <row r="1413" spans="11:14" x14ac:dyDescent="0.35">
      <c r="K1413" s="649"/>
      <c r="L1413" s="649"/>
      <c r="M1413" s="649"/>
      <c r="N1413" s="649"/>
    </row>
    <row r="1414" spans="11:14" x14ac:dyDescent="0.35">
      <c r="K1414" s="649"/>
      <c r="L1414" s="649"/>
      <c r="M1414" s="649"/>
      <c r="N1414" s="649"/>
    </row>
    <row r="1415" spans="11:14" x14ac:dyDescent="0.35">
      <c r="K1415" s="649"/>
      <c r="L1415" s="649"/>
      <c r="M1415" s="649"/>
      <c r="N1415" s="649"/>
    </row>
    <row r="1416" spans="11:14" x14ac:dyDescent="0.35">
      <c r="K1416" s="649"/>
      <c r="L1416" s="649"/>
      <c r="M1416" s="649"/>
      <c r="N1416" s="649"/>
    </row>
    <row r="1417" spans="11:14" x14ac:dyDescent="0.35">
      <c r="K1417" s="649"/>
      <c r="L1417" s="649"/>
      <c r="M1417" s="649"/>
      <c r="N1417" s="649"/>
    </row>
    <row r="1418" spans="11:14" x14ac:dyDescent="0.35">
      <c r="K1418" s="649"/>
      <c r="L1418" s="649"/>
      <c r="M1418" s="649"/>
      <c r="N1418" s="649"/>
    </row>
    <row r="1419" spans="11:14" x14ac:dyDescent="0.35">
      <c r="K1419" s="649"/>
      <c r="L1419" s="649"/>
      <c r="M1419" s="649"/>
      <c r="N1419" s="649"/>
    </row>
    <row r="1420" spans="11:14" x14ac:dyDescent="0.35">
      <c r="K1420" s="649"/>
      <c r="L1420" s="649"/>
      <c r="M1420" s="649"/>
      <c r="N1420" s="649"/>
    </row>
    <row r="1421" spans="11:14" x14ac:dyDescent="0.35">
      <c r="K1421" s="649"/>
      <c r="L1421" s="649"/>
      <c r="M1421" s="649"/>
      <c r="N1421" s="649"/>
    </row>
    <row r="1422" spans="11:14" x14ac:dyDescent="0.35">
      <c r="K1422" s="649"/>
      <c r="L1422" s="649"/>
      <c r="M1422" s="649"/>
      <c r="N1422" s="649"/>
    </row>
    <row r="1423" spans="11:14" x14ac:dyDescent="0.35">
      <c r="K1423" s="649"/>
      <c r="L1423" s="649"/>
      <c r="M1423" s="649"/>
      <c r="N1423" s="649"/>
    </row>
    <row r="1424" spans="11:14" x14ac:dyDescent="0.35">
      <c r="K1424" s="649"/>
      <c r="L1424" s="649"/>
      <c r="M1424" s="649"/>
      <c r="N1424" s="649"/>
    </row>
    <row r="1425" spans="11:14" x14ac:dyDescent="0.35">
      <c r="K1425" s="649"/>
      <c r="L1425" s="649"/>
      <c r="M1425" s="649"/>
      <c r="N1425" s="649"/>
    </row>
    <row r="1426" spans="11:14" x14ac:dyDescent="0.35">
      <c r="K1426" s="649"/>
      <c r="L1426" s="649"/>
      <c r="M1426" s="649"/>
      <c r="N1426" s="649"/>
    </row>
    <row r="1427" spans="11:14" x14ac:dyDescent="0.35">
      <c r="K1427" s="649"/>
      <c r="L1427" s="649"/>
      <c r="M1427" s="649"/>
      <c r="N1427" s="649"/>
    </row>
    <row r="1428" spans="11:14" x14ac:dyDescent="0.35">
      <c r="K1428" s="649"/>
      <c r="L1428" s="649"/>
      <c r="M1428" s="649"/>
      <c r="N1428" s="649"/>
    </row>
    <row r="1429" spans="11:14" x14ac:dyDescent="0.35">
      <c r="K1429" s="649"/>
      <c r="L1429" s="649"/>
      <c r="M1429" s="649"/>
      <c r="N1429" s="649"/>
    </row>
    <row r="1430" spans="11:14" x14ac:dyDescent="0.35">
      <c r="K1430" s="649"/>
      <c r="L1430" s="649"/>
      <c r="M1430" s="649"/>
      <c r="N1430" s="649"/>
    </row>
    <row r="1431" spans="11:14" x14ac:dyDescent="0.35">
      <c r="K1431" s="649"/>
      <c r="L1431" s="649"/>
      <c r="M1431" s="649"/>
      <c r="N1431" s="649"/>
    </row>
    <row r="1432" spans="11:14" x14ac:dyDescent="0.35">
      <c r="K1432" s="649"/>
      <c r="L1432" s="649"/>
      <c r="M1432" s="649"/>
      <c r="N1432" s="649"/>
    </row>
    <row r="1433" spans="11:14" x14ac:dyDescent="0.35">
      <c r="K1433" s="649"/>
      <c r="L1433" s="649"/>
      <c r="M1433" s="649"/>
      <c r="N1433" s="649"/>
    </row>
    <row r="1434" spans="11:14" x14ac:dyDescent="0.35">
      <c r="K1434" s="649"/>
      <c r="L1434" s="649"/>
      <c r="M1434" s="649"/>
      <c r="N1434" s="649"/>
    </row>
    <row r="1435" spans="11:14" x14ac:dyDescent="0.35">
      <c r="K1435" s="649"/>
      <c r="L1435" s="649"/>
      <c r="M1435" s="649"/>
      <c r="N1435" s="649"/>
    </row>
    <row r="1436" spans="11:14" x14ac:dyDescent="0.35">
      <c r="K1436" s="649"/>
      <c r="L1436" s="649"/>
      <c r="M1436" s="649"/>
      <c r="N1436" s="649"/>
    </row>
    <row r="1437" spans="11:14" x14ac:dyDescent="0.35">
      <c r="K1437" s="649"/>
      <c r="L1437" s="649"/>
      <c r="M1437" s="649"/>
      <c r="N1437" s="649"/>
    </row>
    <row r="1438" spans="11:14" x14ac:dyDescent="0.35">
      <c r="K1438" s="649"/>
      <c r="L1438" s="649"/>
      <c r="M1438" s="649"/>
      <c r="N1438" s="649"/>
    </row>
    <row r="1439" spans="11:14" x14ac:dyDescent="0.35">
      <c r="K1439" s="649"/>
      <c r="L1439" s="649"/>
      <c r="M1439" s="649"/>
      <c r="N1439" s="649"/>
    </row>
    <row r="1440" spans="11:14" x14ac:dyDescent="0.35">
      <c r="K1440" s="649"/>
      <c r="L1440" s="649"/>
      <c r="M1440" s="649"/>
      <c r="N1440" s="649"/>
    </row>
    <row r="1441" spans="11:14" x14ac:dyDescent="0.35">
      <c r="K1441" s="649"/>
      <c r="L1441" s="649"/>
      <c r="M1441" s="649"/>
      <c r="N1441" s="649"/>
    </row>
    <row r="1442" spans="11:14" x14ac:dyDescent="0.35">
      <c r="K1442" s="649"/>
      <c r="L1442" s="649"/>
      <c r="M1442" s="649"/>
      <c r="N1442" s="649"/>
    </row>
    <row r="1443" spans="11:14" x14ac:dyDescent="0.35">
      <c r="K1443" s="649"/>
      <c r="L1443" s="649"/>
      <c r="M1443" s="649"/>
      <c r="N1443" s="649"/>
    </row>
    <row r="1444" spans="11:14" x14ac:dyDescent="0.35">
      <c r="K1444" s="649"/>
      <c r="L1444" s="649"/>
      <c r="M1444" s="649"/>
      <c r="N1444" s="649"/>
    </row>
    <row r="1445" spans="11:14" x14ac:dyDescent="0.35">
      <c r="K1445" s="649"/>
      <c r="L1445" s="649"/>
      <c r="M1445" s="649"/>
      <c r="N1445" s="649"/>
    </row>
    <row r="1446" spans="11:14" x14ac:dyDescent="0.35">
      <c r="K1446" s="649"/>
      <c r="L1446" s="649"/>
      <c r="M1446" s="649"/>
      <c r="N1446" s="649"/>
    </row>
    <row r="1447" spans="11:14" x14ac:dyDescent="0.35">
      <c r="K1447" s="649"/>
      <c r="L1447" s="649"/>
      <c r="M1447" s="649"/>
      <c r="N1447" s="649"/>
    </row>
    <row r="1448" spans="11:14" x14ac:dyDescent="0.35">
      <c r="K1448" s="649"/>
      <c r="L1448" s="649"/>
      <c r="M1448" s="649"/>
      <c r="N1448" s="649"/>
    </row>
    <row r="1449" spans="11:14" x14ac:dyDescent="0.35">
      <c r="K1449" s="649"/>
      <c r="L1449" s="649"/>
      <c r="M1449" s="649"/>
      <c r="N1449" s="649"/>
    </row>
    <row r="1450" spans="11:14" x14ac:dyDescent="0.35">
      <c r="K1450" s="649"/>
      <c r="L1450" s="649"/>
      <c r="M1450" s="649"/>
      <c r="N1450" s="649"/>
    </row>
    <row r="1451" spans="11:14" x14ac:dyDescent="0.35">
      <c r="K1451" s="649"/>
      <c r="L1451" s="649"/>
      <c r="M1451" s="649"/>
      <c r="N1451" s="649"/>
    </row>
    <row r="1452" spans="11:14" x14ac:dyDescent="0.35">
      <c r="K1452" s="649"/>
      <c r="L1452" s="649"/>
      <c r="M1452" s="649"/>
      <c r="N1452" s="649"/>
    </row>
    <row r="1453" spans="11:14" x14ac:dyDescent="0.35">
      <c r="K1453" s="649"/>
      <c r="L1453" s="649"/>
      <c r="M1453" s="649"/>
      <c r="N1453" s="649"/>
    </row>
    <row r="1454" spans="11:14" x14ac:dyDescent="0.35">
      <c r="K1454" s="649"/>
      <c r="L1454" s="649"/>
      <c r="M1454" s="649"/>
      <c r="N1454" s="649"/>
    </row>
    <row r="1455" spans="11:14" x14ac:dyDescent="0.35">
      <c r="K1455" s="649"/>
      <c r="L1455" s="649"/>
      <c r="M1455" s="649"/>
      <c r="N1455" s="649"/>
    </row>
    <row r="1456" spans="11:14" x14ac:dyDescent="0.35">
      <c r="K1456" s="649"/>
      <c r="L1456" s="649"/>
      <c r="M1456" s="649"/>
      <c r="N1456" s="649"/>
    </row>
    <row r="1457" spans="11:14" x14ac:dyDescent="0.35">
      <c r="K1457" s="649"/>
      <c r="L1457" s="649"/>
      <c r="M1457" s="649"/>
      <c r="N1457" s="649"/>
    </row>
    <row r="1458" spans="11:14" x14ac:dyDescent="0.35">
      <c r="K1458" s="649"/>
      <c r="L1458" s="649"/>
      <c r="M1458" s="649"/>
      <c r="N1458" s="649"/>
    </row>
    <row r="1459" spans="11:14" x14ac:dyDescent="0.35">
      <c r="K1459" s="649"/>
      <c r="L1459" s="649"/>
      <c r="M1459" s="649"/>
      <c r="N1459" s="649"/>
    </row>
    <row r="1460" spans="11:14" x14ac:dyDescent="0.35">
      <c r="K1460" s="649"/>
      <c r="L1460" s="649"/>
      <c r="M1460" s="649"/>
      <c r="N1460" s="649"/>
    </row>
    <row r="1461" spans="11:14" x14ac:dyDescent="0.35">
      <c r="K1461" s="649"/>
      <c r="L1461" s="649"/>
      <c r="M1461" s="649"/>
      <c r="N1461" s="649"/>
    </row>
    <row r="1462" spans="11:14" x14ac:dyDescent="0.35">
      <c r="K1462" s="649"/>
      <c r="L1462" s="649"/>
      <c r="M1462" s="649"/>
      <c r="N1462" s="649"/>
    </row>
    <row r="1463" spans="11:14" x14ac:dyDescent="0.35">
      <c r="K1463" s="649"/>
      <c r="L1463" s="649"/>
      <c r="M1463" s="649"/>
      <c r="N1463" s="649"/>
    </row>
    <row r="1464" spans="11:14" x14ac:dyDescent="0.35">
      <c r="K1464" s="649"/>
      <c r="L1464" s="649"/>
      <c r="M1464" s="649"/>
      <c r="N1464" s="649"/>
    </row>
    <row r="1465" spans="11:14" x14ac:dyDescent="0.35">
      <c r="K1465" s="649"/>
      <c r="L1465" s="649"/>
      <c r="M1465" s="649"/>
      <c r="N1465" s="649"/>
    </row>
    <row r="1466" spans="11:14" x14ac:dyDescent="0.35">
      <c r="K1466" s="649"/>
      <c r="L1466" s="649"/>
      <c r="M1466" s="649"/>
      <c r="N1466" s="649"/>
    </row>
    <row r="1467" spans="11:14" x14ac:dyDescent="0.35">
      <c r="K1467" s="649"/>
      <c r="L1467" s="649"/>
      <c r="M1467" s="649"/>
      <c r="N1467" s="649"/>
    </row>
    <row r="1468" spans="11:14" x14ac:dyDescent="0.35">
      <c r="K1468" s="649"/>
      <c r="L1468" s="649"/>
      <c r="M1468" s="649"/>
      <c r="N1468" s="649"/>
    </row>
    <row r="1469" spans="11:14" x14ac:dyDescent="0.35">
      <c r="K1469" s="649"/>
      <c r="L1469" s="649"/>
      <c r="M1469" s="649"/>
      <c r="N1469" s="649"/>
    </row>
    <row r="1470" spans="11:14" x14ac:dyDescent="0.35">
      <c r="K1470" s="649"/>
      <c r="L1470" s="649"/>
      <c r="M1470" s="649"/>
      <c r="N1470" s="649"/>
    </row>
    <row r="1471" spans="11:14" x14ac:dyDescent="0.35">
      <c r="K1471" s="649"/>
      <c r="L1471" s="649"/>
      <c r="M1471" s="649"/>
      <c r="N1471" s="649"/>
    </row>
    <row r="1472" spans="11:14" x14ac:dyDescent="0.35">
      <c r="K1472" s="649"/>
      <c r="L1472" s="649"/>
      <c r="M1472" s="649"/>
      <c r="N1472" s="649"/>
    </row>
    <row r="1473" spans="11:14" x14ac:dyDescent="0.35">
      <c r="K1473" s="649"/>
      <c r="L1473" s="649"/>
      <c r="M1473" s="649"/>
      <c r="N1473" s="649"/>
    </row>
    <row r="1474" spans="11:14" x14ac:dyDescent="0.35">
      <c r="K1474" s="649"/>
      <c r="L1474" s="649"/>
      <c r="M1474" s="649"/>
      <c r="N1474" s="649"/>
    </row>
    <row r="1475" spans="11:14" x14ac:dyDescent="0.35">
      <c r="K1475" s="649"/>
      <c r="L1475" s="649"/>
      <c r="M1475" s="649"/>
      <c r="N1475" s="649"/>
    </row>
    <row r="1476" spans="11:14" x14ac:dyDescent="0.35">
      <c r="K1476" s="649"/>
      <c r="L1476" s="649"/>
      <c r="M1476" s="649"/>
      <c r="N1476" s="649"/>
    </row>
    <row r="1477" spans="11:14" x14ac:dyDescent="0.35">
      <c r="K1477" s="649"/>
      <c r="L1477" s="649"/>
      <c r="M1477" s="649"/>
      <c r="N1477" s="649"/>
    </row>
    <row r="1478" spans="11:14" x14ac:dyDescent="0.35">
      <c r="K1478" s="649"/>
      <c r="L1478" s="649"/>
      <c r="M1478" s="649"/>
      <c r="N1478" s="649"/>
    </row>
    <row r="1479" spans="11:14" x14ac:dyDescent="0.35">
      <c r="K1479" s="649"/>
      <c r="L1479" s="649"/>
      <c r="M1479" s="649"/>
      <c r="N1479" s="649"/>
    </row>
    <row r="1480" spans="11:14" x14ac:dyDescent="0.35">
      <c r="K1480" s="649"/>
      <c r="L1480" s="649"/>
      <c r="M1480" s="649"/>
      <c r="N1480" s="649"/>
    </row>
    <row r="1481" spans="11:14" x14ac:dyDescent="0.35">
      <c r="K1481" s="649"/>
      <c r="L1481" s="649"/>
      <c r="M1481" s="649"/>
      <c r="N1481" s="649"/>
    </row>
    <row r="1482" spans="11:14" x14ac:dyDescent="0.35">
      <c r="K1482" s="649"/>
      <c r="L1482" s="649"/>
      <c r="M1482" s="649"/>
      <c r="N1482" s="649"/>
    </row>
    <row r="1483" spans="11:14" x14ac:dyDescent="0.35">
      <c r="K1483" s="649"/>
      <c r="L1483" s="649"/>
      <c r="M1483" s="649"/>
      <c r="N1483" s="649"/>
    </row>
    <row r="1484" spans="11:14" x14ac:dyDescent="0.35">
      <c r="K1484" s="649"/>
      <c r="L1484" s="649"/>
      <c r="M1484" s="649"/>
      <c r="N1484" s="649"/>
    </row>
    <row r="1485" spans="11:14" x14ac:dyDescent="0.35">
      <c r="K1485" s="649"/>
      <c r="L1485" s="649"/>
      <c r="M1485" s="649"/>
      <c r="N1485" s="649"/>
    </row>
    <row r="1486" spans="11:14" x14ac:dyDescent="0.35">
      <c r="K1486" s="649"/>
      <c r="L1486" s="649"/>
      <c r="M1486" s="649"/>
      <c r="N1486" s="649"/>
    </row>
    <row r="1487" spans="11:14" x14ac:dyDescent="0.35">
      <c r="K1487" s="649"/>
      <c r="L1487" s="649"/>
      <c r="M1487" s="649"/>
      <c r="N1487" s="649"/>
    </row>
    <row r="1488" spans="11:14" x14ac:dyDescent="0.35">
      <c r="K1488" s="649"/>
      <c r="L1488" s="649"/>
      <c r="M1488" s="649"/>
      <c r="N1488" s="649"/>
    </row>
    <row r="1489" spans="11:14" x14ac:dyDescent="0.35">
      <c r="K1489" s="649"/>
      <c r="L1489" s="649"/>
      <c r="M1489" s="649"/>
      <c r="N1489" s="649"/>
    </row>
    <row r="1490" spans="11:14" x14ac:dyDescent="0.35">
      <c r="K1490" s="649"/>
      <c r="L1490" s="649"/>
      <c r="M1490" s="649"/>
      <c r="N1490" s="649"/>
    </row>
    <row r="1491" spans="11:14" x14ac:dyDescent="0.35">
      <c r="K1491" s="649"/>
      <c r="L1491" s="649"/>
      <c r="M1491" s="649"/>
      <c r="N1491" s="649"/>
    </row>
    <row r="1492" spans="11:14" x14ac:dyDescent="0.35">
      <c r="K1492" s="649"/>
      <c r="L1492" s="649"/>
      <c r="M1492" s="649"/>
      <c r="N1492" s="649"/>
    </row>
    <row r="1493" spans="11:14" x14ac:dyDescent="0.35">
      <c r="K1493" s="649"/>
      <c r="L1493" s="649"/>
      <c r="M1493" s="649"/>
      <c r="N1493" s="649"/>
    </row>
    <row r="1494" spans="11:14" x14ac:dyDescent="0.35">
      <c r="K1494" s="649"/>
      <c r="L1494" s="649"/>
      <c r="M1494" s="649"/>
      <c r="N1494" s="649"/>
    </row>
    <row r="1495" spans="11:14" x14ac:dyDescent="0.35">
      <c r="K1495" s="649"/>
      <c r="L1495" s="649"/>
      <c r="M1495" s="649"/>
      <c r="N1495" s="649"/>
    </row>
    <row r="1496" spans="11:14" x14ac:dyDescent="0.35">
      <c r="K1496" s="649"/>
      <c r="L1496" s="649"/>
      <c r="M1496" s="649"/>
      <c r="N1496" s="649"/>
    </row>
    <row r="1497" spans="11:14" x14ac:dyDescent="0.35">
      <c r="K1497" s="649"/>
      <c r="L1497" s="649"/>
      <c r="M1497" s="649"/>
      <c r="N1497" s="649"/>
    </row>
    <row r="1498" spans="11:14" x14ac:dyDescent="0.35">
      <c r="K1498" s="649"/>
      <c r="L1498" s="649"/>
      <c r="M1498" s="649"/>
      <c r="N1498" s="649"/>
    </row>
    <row r="1499" spans="11:14" x14ac:dyDescent="0.35">
      <c r="K1499" s="649"/>
      <c r="L1499" s="649"/>
      <c r="M1499" s="649"/>
      <c r="N1499" s="649"/>
    </row>
    <row r="1500" spans="11:14" x14ac:dyDescent="0.35">
      <c r="K1500" s="649"/>
      <c r="L1500" s="649"/>
      <c r="M1500" s="649"/>
      <c r="N1500" s="649"/>
    </row>
    <row r="1501" spans="11:14" x14ac:dyDescent="0.35">
      <c r="K1501" s="649"/>
      <c r="L1501" s="649"/>
      <c r="M1501" s="649"/>
      <c r="N1501" s="649"/>
    </row>
    <row r="1502" spans="11:14" x14ac:dyDescent="0.35">
      <c r="K1502" s="649"/>
      <c r="L1502" s="649"/>
      <c r="M1502" s="649"/>
      <c r="N1502" s="649"/>
    </row>
    <row r="1503" spans="11:14" x14ac:dyDescent="0.35">
      <c r="K1503" s="649"/>
      <c r="L1503" s="649"/>
      <c r="M1503" s="649"/>
      <c r="N1503" s="649"/>
    </row>
    <row r="1504" spans="11:14" x14ac:dyDescent="0.35">
      <c r="K1504" s="649"/>
      <c r="L1504" s="649"/>
      <c r="M1504" s="649"/>
      <c r="N1504" s="649"/>
    </row>
    <row r="1505" spans="11:14" x14ac:dyDescent="0.35">
      <c r="K1505" s="649"/>
      <c r="L1505" s="649"/>
      <c r="M1505" s="649"/>
      <c r="N1505" s="649"/>
    </row>
    <row r="1506" spans="11:14" x14ac:dyDescent="0.35">
      <c r="K1506" s="649"/>
      <c r="L1506" s="649"/>
      <c r="M1506" s="649"/>
      <c r="N1506" s="649"/>
    </row>
    <row r="1507" spans="11:14" x14ac:dyDescent="0.35">
      <c r="K1507" s="649"/>
      <c r="L1507" s="649"/>
      <c r="M1507" s="649"/>
      <c r="N1507" s="649"/>
    </row>
    <row r="1508" spans="11:14" x14ac:dyDescent="0.35">
      <c r="K1508" s="649"/>
      <c r="L1508" s="649"/>
      <c r="M1508" s="649"/>
      <c r="N1508" s="649"/>
    </row>
    <row r="1509" spans="11:14" x14ac:dyDescent="0.35">
      <c r="K1509" s="649"/>
      <c r="L1509" s="649"/>
      <c r="M1509" s="649"/>
      <c r="N1509" s="649"/>
    </row>
    <row r="1510" spans="11:14" x14ac:dyDescent="0.35">
      <c r="K1510" s="649"/>
      <c r="L1510" s="649"/>
      <c r="M1510" s="649"/>
      <c r="N1510" s="649"/>
    </row>
    <row r="1511" spans="11:14" x14ac:dyDescent="0.35">
      <c r="K1511" s="649"/>
      <c r="L1511" s="649"/>
      <c r="M1511" s="649"/>
      <c r="N1511" s="649"/>
    </row>
    <row r="1512" spans="11:14" x14ac:dyDescent="0.35">
      <c r="K1512" s="649"/>
      <c r="L1512" s="649"/>
      <c r="M1512" s="649"/>
      <c r="N1512" s="649"/>
    </row>
    <row r="1513" spans="11:14" x14ac:dyDescent="0.35">
      <c r="K1513" s="649"/>
      <c r="L1513" s="649"/>
      <c r="M1513" s="649"/>
      <c r="N1513" s="649"/>
    </row>
    <row r="1514" spans="11:14" x14ac:dyDescent="0.35">
      <c r="K1514" s="649"/>
      <c r="L1514" s="649"/>
      <c r="M1514" s="649"/>
      <c r="N1514" s="649"/>
    </row>
    <row r="1515" spans="11:14" x14ac:dyDescent="0.35">
      <c r="K1515" s="649"/>
      <c r="L1515" s="649"/>
      <c r="M1515" s="649"/>
      <c r="N1515" s="649"/>
    </row>
    <row r="1516" spans="11:14" x14ac:dyDescent="0.35">
      <c r="K1516" s="649"/>
      <c r="L1516" s="649"/>
      <c r="M1516" s="649"/>
      <c r="N1516" s="649"/>
    </row>
    <row r="1517" spans="11:14" x14ac:dyDescent="0.35">
      <c r="K1517" s="649"/>
      <c r="L1517" s="649"/>
      <c r="M1517" s="649"/>
      <c r="N1517" s="649"/>
    </row>
    <row r="1518" spans="11:14" x14ac:dyDescent="0.35">
      <c r="K1518" s="649"/>
      <c r="L1518" s="649"/>
      <c r="M1518" s="649"/>
      <c r="N1518" s="649"/>
    </row>
    <row r="1519" spans="11:14" x14ac:dyDescent="0.35">
      <c r="K1519" s="649"/>
      <c r="L1519" s="649"/>
      <c r="M1519" s="649"/>
      <c r="N1519" s="649"/>
    </row>
    <row r="1520" spans="11:14" x14ac:dyDescent="0.35">
      <c r="K1520" s="649"/>
      <c r="L1520" s="649"/>
      <c r="M1520" s="649"/>
      <c r="N1520" s="649"/>
    </row>
    <row r="1521" spans="11:14" x14ac:dyDescent="0.35">
      <c r="K1521" s="649"/>
      <c r="L1521" s="649"/>
      <c r="M1521" s="649"/>
      <c r="N1521" s="649"/>
    </row>
    <row r="1522" spans="11:14" x14ac:dyDescent="0.35">
      <c r="K1522" s="649"/>
      <c r="L1522" s="649"/>
      <c r="M1522" s="649"/>
      <c r="N1522" s="649"/>
    </row>
    <row r="1523" spans="11:14" x14ac:dyDescent="0.35">
      <c r="K1523" s="649"/>
      <c r="L1523" s="649"/>
      <c r="M1523" s="649"/>
      <c r="N1523" s="649"/>
    </row>
    <row r="1524" spans="11:14" x14ac:dyDescent="0.35">
      <c r="K1524" s="649"/>
      <c r="L1524" s="649"/>
      <c r="M1524" s="649"/>
      <c r="N1524" s="649"/>
    </row>
    <row r="1525" spans="11:14" x14ac:dyDescent="0.35">
      <c r="K1525" s="649"/>
      <c r="L1525" s="649"/>
      <c r="M1525" s="649"/>
      <c r="N1525" s="649"/>
    </row>
    <row r="1526" spans="11:14" x14ac:dyDescent="0.35">
      <c r="K1526" s="649"/>
      <c r="L1526" s="649"/>
      <c r="M1526" s="649"/>
      <c r="N1526" s="649"/>
    </row>
    <row r="1527" spans="11:14" x14ac:dyDescent="0.35">
      <c r="K1527" s="649"/>
      <c r="L1527" s="649"/>
      <c r="M1527" s="649"/>
      <c r="N1527" s="649"/>
    </row>
    <row r="1528" spans="11:14" x14ac:dyDescent="0.35">
      <c r="K1528" s="649"/>
      <c r="L1528" s="649"/>
      <c r="M1528" s="649"/>
      <c r="N1528" s="649"/>
    </row>
    <row r="1529" spans="11:14" x14ac:dyDescent="0.35">
      <c r="K1529" s="649"/>
      <c r="L1529" s="649"/>
      <c r="M1529" s="649"/>
      <c r="N1529" s="649"/>
    </row>
    <row r="1530" spans="11:14" x14ac:dyDescent="0.35">
      <c r="K1530" s="649"/>
      <c r="L1530" s="649"/>
      <c r="M1530" s="649"/>
      <c r="N1530" s="649"/>
    </row>
    <row r="1531" spans="11:14" x14ac:dyDescent="0.35">
      <c r="K1531" s="649"/>
      <c r="L1531" s="649"/>
      <c r="M1531" s="649"/>
      <c r="N1531" s="649"/>
    </row>
    <row r="1532" spans="11:14" x14ac:dyDescent="0.35">
      <c r="K1532" s="649"/>
      <c r="L1532" s="649"/>
      <c r="M1532" s="649"/>
      <c r="N1532" s="649"/>
    </row>
    <row r="1533" spans="11:14" x14ac:dyDescent="0.35">
      <c r="K1533" s="649"/>
      <c r="L1533" s="649"/>
      <c r="M1533" s="649"/>
      <c r="N1533" s="649"/>
    </row>
    <row r="1534" spans="11:14" x14ac:dyDescent="0.35">
      <c r="K1534" s="649"/>
      <c r="L1534" s="649"/>
      <c r="M1534" s="649"/>
      <c r="N1534" s="649"/>
    </row>
    <row r="1535" spans="11:14" x14ac:dyDescent="0.35">
      <c r="K1535" s="649"/>
      <c r="L1535" s="649"/>
      <c r="M1535" s="649"/>
      <c r="N1535" s="649"/>
    </row>
    <row r="1536" spans="11:14" x14ac:dyDescent="0.35">
      <c r="K1536" s="649"/>
      <c r="L1536" s="649"/>
      <c r="M1536" s="649"/>
      <c r="N1536" s="649"/>
    </row>
    <row r="1537" spans="11:14" x14ac:dyDescent="0.35">
      <c r="K1537" s="649"/>
      <c r="L1537" s="649"/>
      <c r="M1537" s="649"/>
      <c r="N1537" s="649"/>
    </row>
    <row r="1538" spans="11:14" x14ac:dyDescent="0.35">
      <c r="K1538" s="649"/>
      <c r="L1538" s="649"/>
      <c r="M1538" s="649"/>
      <c r="N1538" s="649"/>
    </row>
    <row r="1539" spans="11:14" x14ac:dyDescent="0.35">
      <c r="K1539" s="649"/>
      <c r="L1539" s="649"/>
      <c r="M1539" s="649"/>
      <c r="N1539" s="649"/>
    </row>
    <row r="1540" spans="11:14" x14ac:dyDescent="0.35">
      <c r="K1540" s="649"/>
      <c r="L1540" s="649"/>
      <c r="M1540" s="649"/>
      <c r="N1540" s="649"/>
    </row>
    <row r="1541" spans="11:14" x14ac:dyDescent="0.35">
      <c r="K1541" s="649"/>
      <c r="L1541" s="649"/>
      <c r="M1541" s="649"/>
      <c r="N1541" s="649"/>
    </row>
    <row r="1542" spans="11:14" x14ac:dyDescent="0.35">
      <c r="K1542" s="649"/>
      <c r="L1542" s="649"/>
      <c r="M1542" s="649"/>
      <c r="N1542" s="649"/>
    </row>
    <row r="1543" spans="11:14" x14ac:dyDescent="0.35">
      <c r="K1543" s="649"/>
      <c r="L1543" s="649"/>
      <c r="M1543" s="649"/>
      <c r="N1543" s="649"/>
    </row>
    <row r="1544" spans="11:14" x14ac:dyDescent="0.35">
      <c r="K1544" s="649"/>
      <c r="L1544" s="649"/>
      <c r="M1544" s="649"/>
      <c r="N1544" s="649"/>
    </row>
    <row r="1545" spans="11:14" x14ac:dyDescent="0.35">
      <c r="K1545" s="649"/>
      <c r="L1545" s="649"/>
      <c r="M1545" s="649"/>
      <c r="N1545" s="649"/>
    </row>
    <row r="1546" spans="11:14" x14ac:dyDescent="0.35">
      <c r="K1546" s="649"/>
      <c r="L1546" s="649"/>
      <c r="M1546" s="649"/>
      <c r="N1546" s="649"/>
    </row>
    <row r="1547" spans="11:14" x14ac:dyDescent="0.35">
      <c r="K1547" s="649"/>
      <c r="L1547" s="649"/>
      <c r="M1547" s="649"/>
      <c r="N1547" s="649"/>
    </row>
    <row r="1548" spans="11:14" x14ac:dyDescent="0.35">
      <c r="K1548" s="649"/>
      <c r="L1548" s="649"/>
      <c r="M1548" s="649"/>
      <c r="N1548" s="649"/>
    </row>
    <row r="1549" spans="11:14" x14ac:dyDescent="0.35">
      <c r="K1549" s="649"/>
      <c r="L1549" s="649"/>
      <c r="M1549" s="649"/>
      <c r="N1549" s="649"/>
    </row>
    <row r="1550" spans="11:14" x14ac:dyDescent="0.35">
      <c r="K1550" s="649"/>
      <c r="L1550" s="649"/>
      <c r="M1550" s="649"/>
      <c r="N1550" s="649"/>
    </row>
    <row r="1551" spans="11:14" x14ac:dyDescent="0.35">
      <c r="K1551" s="649"/>
      <c r="L1551" s="649"/>
      <c r="M1551" s="649"/>
      <c r="N1551" s="649"/>
    </row>
    <row r="1552" spans="11:14" x14ac:dyDescent="0.35">
      <c r="K1552" s="649"/>
      <c r="L1552" s="649"/>
      <c r="M1552" s="649"/>
      <c r="N1552" s="649"/>
    </row>
    <row r="1553" spans="11:14" x14ac:dyDescent="0.35">
      <c r="K1553" s="649"/>
      <c r="L1553" s="649"/>
      <c r="M1553" s="649"/>
      <c r="N1553" s="649"/>
    </row>
    <row r="1554" spans="11:14" x14ac:dyDescent="0.35">
      <c r="K1554" s="649"/>
      <c r="L1554" s="649"/>
      <c r="M1554" s="649"/>
      <c r="N1554" s="649"/>
    </row>
    <row r="1555" spans="11:14" x14ac:dyDescent="0.35">
      <c r="K1555" s="649"/>
      <c r="L1555" s="649"/>
      <c r="M1555" s="649"/>
      <c r="N1555" s="649"/>
    </row>
    <row r="1556" spans="11:14" x14ac:dyDescent="0.35">
      <c r="K1556" s="649"/>
      <c r="L1556" s="649"/>
      <c r="M1556" s="649"/>
      <c r="N1556" s="649"/>
    </row>
    <row r="1557" spans="11:14" x14ac:dyDescent="0.35">
      <c r="K1557" s="649"/>
      <c r="L1557" s="649"/>
      <c r="M1557" s="649"/>
      <c r="N1557" s="649"/>
    </row>
    <row r="1558" spans="11:14" x14ac:dyDescent="0.35">
      <c r="K1558" s="649"/>
      <c r="L1558" s="649"/>
      <c r="M1558" s="649"/>
      <c r="N1558" s="649"/>
    </row>
    <row r="1559" spans="11:14" x14ac:dyDescent="0.35">
      <c r="K1559" s="649"/>
      <c r="L1559" s="649"/>
      <c r="M1559" s="649"/>
      <c r="N1559" s="649"/>
    </row>
    <row r="1560" spans="11:14" x14ac:dyDescent="0.35">
      <c r="K1560" s="649"/>
      <c r="L1560" s="649"/>
      <c r="M1560" s="649"/>
      <c r="N1560" s="649"/>
    </row>
    <row r="1561" spans="11:14" x14ac:dyDescent="0.35">
      <c r="K1561" s="649"/>
      <c r="L1561" s="649"/>
      <c r="M1561" s="649"/>
      <c r="N1561" s="649"/>
    </row>
    <row r="1562" spans="11:14" x14ac:dyDescent="0.35">
      <c r="K1562" s="649"/>
      <c r="L1562" s="649"/>
      <c r="M1562" s="649"/>
      <c r="N1562" s="649"/>
    </row>
    <row r="1563" spans="11:14" x14ac:dyDescent="0.35">
      <c r="K1563" s="649"/>
      <c r="L1563" s="649"/>
      <c r="M1563" s="649"/>
      <c r="N1563" s="649"/>
    </row>
    <row r="1564" spans="11:14" x14ac:dyDescent="0.35">
      <c r="K1564" s="649"/>
      <c r="L1564" s="649"/>
      <c r="M1564" s="649"/>
      <c r="N1564" s="649"/>
    </row>
    <row r="1565" spans="11:14" x14ac:dyDescent="0.35">
      <c r="K1565" s="649"/>
      <c r="L1565" s="649"/>
      <c r="M1565" s="649"/>
      <c r="N1565" s="649"/>
    </row>
    <row r="1566" spans="11:14" x14ac:dyDescent="0.35">
      <c r="K1566" s="649"/>
      <c r="L1566" s="649"/>
      <c r="M1566" s="649"/>
      <c r="N1566" s="649"/>
    </row>
    <row r="1567" spans="11:14" x14ac:dyDescent="0.35">
      <c r="K1567" s="649"/>
      <c r="L1567" s="649"/>
      <c r="M1567" s="649"/>
      <c r="N1567" s="649"/>
    </row>
    <row r="1568" spans="11:14" x14ac:dyDescent="0.35">
      <c r="K1568" s="649"/>
      <c r="L1568" s="649"/>
      <c r="M1568" s="649"/>
      <c r="N1568" s="649"/>
    </row>
    <row r="1569" spans="11:14" x14ac:dyDescent="0.35">
      <c r="K1569" s="649"/>
      <c r="L1569" s="649"/>
      <c r="M1569" s="649"/>
      <c r="N1569" s="649"/>
    </row>
    <row r="1570" spans="11:14" x14ac:dyDescent="0.35">
      <c r="K1570" s="649"/>
      <c r="L1570" s="649"/>
      <c r="M1570" s="649"/>
      <c r="N1570" s="649"/>
    </row>
    <row r="1571" spans="11:14" x14ac:dyDescent="0.35">
      <c r="K1571" s="649"/>
      <c r="L1571" s="649"/>
      <c r="M1571" s="649"/>
      <c r="N1571" s="649"/>
    </row>
    <row r="1572" spans="11:14" x14ac:dyDescent="0.35">
      <c r="K1572" s="649"/>
      <c r="L1572" s="649"/>
      <c r="M1572" s="649"/>
      <c r="N1572" s="649"/>
    </row>
    <row r="1573" spans="11:14" x14ac:dyDescent="0.35">
      <c r="K1573" s="649"/>
      <c r="L1573" s="649"/>
      <c r="M1573" s="649"/>
      <c r="N1573" s="649"/>
    </row>
    <row r="1574" spans="11:14" x14ac:dyDescent="0.35">
      <c r="K1574" s="649"/>
      <c r="L1574" s="649"/>
      <c r="M1574" s="649"/>
      <c r="N1574" s="649"/>
    </row>
    <row r="1575" spans="11:14" x14ac:dyDescent="0.35">
      <c r="K1575" s="649"/>
      <c r="L1575" s="649"/>
      <c r="M1575" s="649"/>
      <c r="N1575" s="649"/>
    </row>
    <row r="1576" spans="11:14" x14ac:dyDescent="0.35">
      <c r="K1576" s="649"/>
      <c r="L1576" s="649"/>
      <c r="M1576" s="649"/>
      <c r="N1576" s="649"/>
    </row>
    <row r="1577" spans="11:14" x14ac:dyDescent="0.35">
      <c r="K1577" s="649"/>
      <c r="L1577" s="649"/>
      <c r="M1577" s="649"/>
      <c r="N1577" s="649"/>
    </row>
    <row r="1578" spans="11:14" x14ac:dyDescent="0.35">
      <c r="K1578" s="649"/>
      <c r="L1578" s="649"/>
      <c r="M1578" s="649"/>
      <c r="N1578" s="649"/>
    </row>
    <row r="1579" spans="11:14" x14ac:dyDescent="0.35">
      <c r="K1579" s="649"/>
      <c r="L1579" s="649"/>
      <c r="M1579" s="649"/>
      <c r="N1579" s="649"/>
    </row>
    <row r="1580" spans="11:14" x14ac:dyDescent="0.35">
      <c r="K1580" s="649"/>
      <c r="L1580" s="649"/>
      <c r="M1580" s="649"/>
      <c r="N1580" s="649"/>
    </row>
    <row r="1581" spans="11:14" x14ac:dyDescent="0.35">
      <c r="K1581" s="649"/>
      <c r="L1581" s="649"/>
      <c r="M1581" s="649"/>
      <c r="N1581" s="649"/>
    </row>
    <row r="1582" spans="11:14" x14ac:dyDescent="0.35">
      <c r="K1582" s="649"/>
      <c r="L1582" s="649"/>
      <c r="M1582" s="649"/>
      <c r="N1582" s="649"/>
    </row>
    <row r="1583" spans="11:14" x14ac:dyDescent="0.35">
      <c r="K1583" s="649"/>
      <c r="L1583" s="649"/>
      <c r="M1583" s="649"/>
      <c r="N1583" s="649"/>
    </row>
    <row r="1584" spans="11:14" x14ac:dyDescent="0.35">
      <c r="K1584" s="649"/>
      <c r="L1584" s="649"/>
      <c r="M1584" s="649"/>
      <c r="N1584" s="649"/>
    </row>
    <row r="1585" spans="11:14" x14ac:dyDescent="0.35">
      <c r="K1585" s="649"/>
      <c r="L1585" s="649"/>
      <c r="M1585" s="649"/>
      <c r="N1585" s="649"/>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GV884"/>
  <sheetViews>
    <sheetView showZeros="0" zoomScaleSheetLayoutView="100" workbookViewId="0"/>
  </sheetViews>
  <sheetFormatPr defaultColWidth="2.3046875" defaultRowHeight="12.45" x14ac:dyDescent="0.3"/>
  <cols>
    <col min="1" max="1" width="2.4609375" style="4" customWidth="1"/>
    <col min="2" max="2" width="2.4609375" style="1" customWidth="1"/>
    <col min="3" max="21" width="2.3046875" style="1" customWidth="1"/>
    <col min="22" max="22" width="2.4609375" style="1" customWidth="1"/>
    <col min="23" max="44" width="2.3046875" style="1" customWidth="1"/>
    <col min="45" max="45" width="1.69140625" style="1" customWidth="1"/>
    <col min="46" max="46" width="2.3046875" style="79" customWidth="1"/>
    <col min="47" max="48" width="2.3046875" style="1"/>
    <col min="49" max="49" width="2.4609375" style="1" customWidth="1"/>
    <col min="50" max="16384" width="2.3046875" style="1"/>
  </cols>
  <sheetData>
    <row r="1" spans="1:204" ht="12.75" customHeight="1" x14ac:dyDescent="0.3">
      <c r="B1" s="688" t="s">
        <v>1964</v>
      </c>
      <c r="C1" s="688"/>
      <c r="D1" s="688"/>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8"/>
      <c r="AI1" s="688"/>
      <c r="AJ1" s="688"/>
      <c r="AK1" s="688"/>
      <c r="AL1" s="688"/>
      <c r="AM1" s="688"/>
      <c r="AN1" s="688"/>
      <c r="AO1" s="688"/>
      <c r="AP1" s="688"/>
      <c r="AQ1" s="688"/>
      <c r="AR1" s="688"/>
      <c r="AS1" s="631"/>
      <c r="AT1" s="631"/>
    </row>
    <row r="2" spans="1:204" ht="12.75" customHeight="1" x14ac:dyDescent="0.3">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U2" s="25"/>
    </row>
    <row r="3" spans="1:204" x14ac:dyDescent="0.3">
      <c r="F3" s="11"/>
      <c r="J3" s="628"/>
      <c r="AN3" s="709" t="str">
        <f>START!AO1</f>
        <v>version 7.1.01</v>
      </c>
      <c r="AO3" s="709"/>
      <c r="AP3" s="709"/>
      <c r="AQ3" s="709"/>
      <c r="AR3" s="709"/>
    </row>
    <row r="4" spans="1:204" s="4" customFormat="1" x14ac:dyDescent="0.3">
      <c r="B4" s="23"/>
      <c r="C4" s="12"/>
      <c r="D4" s="594"/>
      <c r="E4" s="23"/>
      <c r="F4" s="595" t="str">
        <f>START!F13</f>
        <v xml:space="preserve">ASSOCIATION     </v>
      </c>
      <c r="G4" s="695" t="str">
        <f>IF(calculations!B3&lt;3,START!G13,"")</f>
        <v/>
      </c>
      <c r="H4" s="696"/>
      <c r="I4" s="696"/>
      <c r="J4" s="696"/>
      <c r="K4" s="696"/>
      <c r="L4" s="696"/>
      <c r="M4" s="696"/>
      <c r="N4" s="696"/>
      <c r="O4" s="696"/>
      <c r="P4" s="696"/>
      <c r="Q4" s="696"/>
      <c r="R4" s="696"/>
      <c r="S4" s="696"/>
      <c r="T4" s="696"/>
      <c r="U4" s="696"/>
      <c r="V4" s="696"/>
      <c r="W4" s="696"/>
      <c r="X4" s="696"/>
      <c r="Y4" s="696"/>
      <c r="Z4" s="696"/>
      <c r="AA4" s="697"/>
      <c r="AB4" s="599" t="s">
        <v>189</v>
      </c>
      <c r="AC4" s="695">
        <f>IF(calculations!B3&lt;3,START!R7,"")</f>
        <v>0</v>
      </c>
      <c r="AD4" s="696"/>
      <c r="AE4" s="697"/>
      <c r="AF4" s="23"/>
      <c r="AG4" s="671" t="str">
        <f>IF(calculations!B3&lt;3,START!AG13,"TITLE")</f>
        <v>TITLE</v>
      </c>
      <c r="AH4" s="671"/>
      <c r="AI4" s="671"/>
      <c r="AJ4" s="672" t="str">
        <f>IF(calculations!B3&lt;3,START!AJ13,"")</f>
        <v/>
      </c>
      <c r="AK4" s="669"/>
      <c r="AL4" s="669"/>
      <c r="AM4" s="669"/>
      <c r="AN4" s="669"/>
      <c r="AO4" s="669"/>
      <c r="AP4" s="669"/>
      <c r="AQ4" s="669"/>
      <c r="AR4" s="670"/>
      <c r="AT4" s="79"/>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row>
    <row r="5" spans="1:204" s="4" customFormat="1" ht="4.5" customHeight="1" x14ac:dyDescent="0.3">
      <c r="B5" s="23"/>
      <c r="C5" s="12"/>
      <c r="D5" s="594"/>
      <c r="E5" s="23"/>
      <c r="F5" s="16"/>
      <c r="G5" s="600"/>
      <c r="H5" s="600"/>
      <c r="I5" s="600"/>
      <c r="J5" s="600"/>
      <c r="K5" s="600"/>
      <c r="L5" s="600"/>
      <c r="M5" s="600"/>
      <c r="N5" s="600"/>
      <c r="O5" s="600"/>
      <c r="P5" s="600"/>
      <c r="Q5" s="600"/>
      <c r="R5" s="600"/>
      <c r="S5" s="600"/>
      <c r="T5" s="600"/>
      <c r="U5" s="600"/>
      <c r="V5" s="600"/>
      <c r="W5" s="600"/>
      <c r="X5" s="600"/>
      <c r="Y5" s="600"/>
      <c r="Z5" s="600"/>
      <c r="AA5" s="600"/>
      <c r="AB5" s="601"/>
      <c r="AC5" s="600"/>
      <c r="AD5" s="600"/>
      <c r="AE5" s="600"/>
      <c r="AF5" s="16"/>
      <c r="AG5" s="602"/>
      <c r="AH5" s="602"/>
      <c r="AI5" s="602"/>
      <c r="AJ5" s="598"/>
      <c r="AK5" s="598"/>
      <c r="AL5" s="598"/>
      <c r="AM5" s="598"/>
      <c r="AN5" s="598"/>
      <c r="AO5" s="598"/>
      <c r="AP5" s="598"/>
      <c r="AQ5" s="598"/>
      <c r="AR5" s="598"/>
      <c r="AT5" s="79"/>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row>
    <row r="6" spans="1:204" s="4" customFormat="1" x14ac:dyDescent="0.3">
      <c r="B6" s="23"/>
      <c r="C6" s="12"/>
      <c r="D6" s="594"/>
      <c r="E6" s="593" t="str">
        <f>START!E15</f>
        <v xml:space="preserve">ADDRESS     </v>
      </c>
      <c r="F6" s="16"/>
      <c r="G6" s="695" t="str">
        <f>IF(calculations!B3&lt;3,START!G15,"")</f>
        <v/>
      </c>
      <c r="H6" s="696"/>
      <c r="I6" s="696"/>
      <c r="J6" s="696"/>
      <c r="K6" s="696"/>
      <c r="L6" s="696"/>
      <c r="M6" s="696"/>
      <c r="N6" s="696"/>
      <c r="O6" s="696"/>
      <c r="P6" s="696"/>
      <c r="Q6" s="696"/>
      <c r="R6" s="696"/>
      <c r="S6" s="696"/>
      <c r="T6" s="696"/>
      <c r="U6" s="696"/>
      <c r="V6" s="696"/>
      <c r="W6" s="696"/>
      <c r="X6" s="696"/>
      <c r="Y6" s="696"/>
      <c r="Z6" s="696"/>
      <c r="AA6" s="696"/>
      <c r="AB6" s="696"/>
      <c r="AC6" s="696"/>
      <c r="AD6" s="696"/>
      <c r="AE6" s="697"/>
      <c r="AF6" s="23"/>
      <c r="AG6" s="671" t="str">
        <f>IF(calculations!B3&lt;3,START!AG15,"TITLE")</f>
        <v>TITLE</v>
      </c>
      <c r="AH6" s="671"/>
      <c r="AI6" s="671"/>
      <c r="AJ6" s="672">
        <f>IF(calculations!B3&lt;3,START!AJ15,"")</f>
        <v>0</v>
      </c>
      <c r="AK6" s="669"/>
      <c r="AL6" s="669"/>
      <c r="AM6" s="669"/>
      <c r="AN6" s="669"/>
      <c r="AO6" s="669"/>
      <c r="AP6" s="669"/>
      <c r="AQ6" s="669"/>
      <c r="AR6" s="670"/>
      <c r="AT6" s="79"/>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row>
    <row r="7" spans="1:204" s="4" customFormat="1" ht="4.5" customHeight="1" x14ac:dyDescent="0.3">
      <c r="B7" s="23"/>
      <c r="C7" s="23"/>
      <c r="D7" s="23"/>
      <c r="E7" s="593"/>
      <c r="F7" s="16"/>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23"/>
      <c r="AG7" s="23"/>
      <c r="AH7" s="23"/>
      <c r="AI7" s="23"/>
      <c r="AJ7" s="664"/>
      <c r="AK7" s="664"/>
      <c r="AL7" s="664"/>
      <c r="AM7" s="664"/>
      <c r="AN7" s="664"/>
      <c r="AO7" s="664"/>
      <c r="AP7" s="664"/>
      <c r="AQ7" s="664"/>
      <c r="AR7" s="664"/>
      <c r="AT7" s="79"/>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row>
    <row r="8" spans="1:204" s="4" customFormat="1" x14ac:dyDescent="0.3">
      <c r="B8" s="23"/>
      <c r="C8" s="12"/>
      <c r="D8" s="594"/>
      <c r="E8" s="593" t="str">
        <f>START!E17</f>
        <v xml:space="preserve">CITY-ST-ZIP </v>
      </c>
      <c r="F8" s="16"/>
      <c r="G8" s="695" t="str">
        <f>IF(calculations!B3&lt;3,START!G17,"")</f>
        <v/>
      </c>
      <c r="H8" s="696"/>
      <c r="I8" s="696"/>
      <c r="J8" s="696"/>
      <c r="K8" s="696"/>
      <c r="L8" s="696"/>
      <c r="M8" s="696"/>
      <c r="N8" s="696"/>
      <c r="O8" s="696"/>
      <c r="P8" s="696"/>
      <c r="Q8" s="696"/>
      <c r="R8" s="696"/>
      <c r="S8" s="696"/>
      <c r="T8" s="696"/>
      <c r="U8" s="696"/>
      <c r="V8" s="696"/>
      <c r="W8" s="697"/>
      <c r="X8" s="14" t="s">
        <v>257</v>
      </c>
      <c r="Y8" s="603"/>
      <c r="Z8" s="695" t="str">
        <f>IF(calculations!B3&lt;3,START!Z17,"")</f>
        <v/>
      </c>
      <c r="AA8" s="696"/>
      <c r="AB8" s="696"/>
      <c r="AC8" s="696"/>
      <c r="AD8" s="696"/>
      <c r="AE8" s="697"/>
      <c r="AF8" s="23"/>
      <c r="AG8" s="671" t="str">
        <f>IF(calculations!B3&lt;3,START!AG17,"TITLE")</f>
        <v>TITLE</v>
      </c>
      <c r="AH8" s="671"/>
      <c r="AI8" s="671"/>
      <c r="AJ8" s="672">
        <f>IF(calculations!B3&lt;3,START!AJ17,"")</f>
        <v>0</v>
      </c>
      <c r="AK8" s="669"/>
      <c r="AL8" s="669"/>
      <c r="AM8" s="669"/>
      <c r="AN8" s="669"/>
      <c r="AO8" s="669"/>
      <c r="AP8" s="669"/>
      <c r="AQ8" s="669"/>
      <c r="AR8" s="670"/>
      <c r="AT8" s="79"/>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row>
    <row r="9" spans="1:204" s="4" customFormat="1" ht="4.5" customHeight="1" x14ac:dyDescent="0.3">
      <c r="B9" s="23"/>
      <c r="C9" s="23"/>
      <c r="D9" s="23"/>
      <c r="E9" s="593"/>
      <c r="F9" s="16"/>
      <c r="G9" s="662"/>
      <c r="H9" s="662"/>
      <c r="I9" s="662"/>
      <c r="J9" s="662"/>
      <c r="K9" s="663"/>
      <c r="L9" s="663"/>
      <c r="M9" s="663"/>
      <c r="N9" s="663"/>
      <c r="O9" s="663"/>
      <c r="P9" s="663"/>
      <c r="Q9" s="663"/>
      <c r="R9" s="663"/>
      <c r="S9" s="663"/>
      <c r="T9" s="663"/>
      <c r="U9" s="663"/>
      <c r="V9" s="663"/>
      <c r="W9" s="663"/>
      <c r="X9" s="663"/>
      <c r="Y9" s="663"/>
      <c r="Z9" s="663"/>
      <c r="AA9" s="663"/>
      <c r="AB9" s="663"/>
      <c r="AC9" s="663"/>
      <c r="AD9" s="663"/>
      <c r="AE9" s="663"/>
      <c r="AF9" s="16"/>
      <c r="AG9" s="16"/>
      <c r="AH9" s="16"/>
      <c r="AI9" s="16"/>
      <c r="AJ9" s="664"/>
      <c r="AK9" s="664"/>
      <c r="AL9" s="664"/>
      <c r="AM9" s="664"/>
      <c r="AN9" s="664"/>
      <c r="AO9" s="664"/>
      <c r="AP9" s="664"/>
      <c r="AQ9" s="664"/>
      <c r="AR9" s="664"/>
      <c r="AT9" s="79"/>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row>
    <row r="10" spans="1:204" s="4" customFormat="1" x14ac:dyDescent="0.3">
      <c r="B10" s="23"/>
      <c r="C10" s="12"/>
      <c r="D10" s="23"/>
      <c r="E10" s="593" t="str">
        <f>START!E19</f>
        <v xml:space="preserve">EXP. DATE    </v>
      </c>
      <c r="F10" s="16"/>
      <c r="G10" s="698" t="str">
        <f>IF(calculations!B3&lt;3,START!G19,"")</f>
        <v/>
      </c>
      <c r="H10" s="699"/>
      <c r="I10" s="699"/>
      <c r="J10" s="700"/>
      <c r="K10" s="23"/>
      <c r="L10" s="12" t="s">
        <v>563</v>
      </c>
      <c r="M10" s="16"/>
      <c r="N10" s="16"/>
      <c r="O10" s="668">
        <f>IF(calculations!B3&lt;3,START!O19,"")</f>
        <v>0</v>
      </c>
      <c r="P10" s="669"/>
      <c r="Q10" s="669"/>
      <c r="R10" s="669"/>
      <c r="S10" s="669"/>
      <c r="T10" s="669"/>
      <c r="U10" s="669"/>
      <c r="V10" s="669"/>
      <c r="W10" s="669"/>
      <c r="X10" s="669"/>
      <c r="Y10" s="669"/>
      <c r="Z10" s="669"/>
      <c r="AA10" s="669"/>
      <c r="AB10" s="669"/>
      <c r="AC10" s="669"/>
      <c r="AD10" s="669"/>
      <c r="AE10" s="670"/>
      <c r="AF10" s="23"/>
      <c r="AG10" s="671" t="str">
        <f>START!AG19</f>
        <v>TITLE</v>
      </c>
      <c r="AH10" s="671"/>
      <c r="AI10" s="671"/>
      <c r="AJ10" s="672">
        <f>START!AJ19</f>
        <v>0</v>
      </c>
      <c r="AK10" s="669"/>
      <c r="AL10" s="669"/>
      <c r="AM10" s="669"/>
      <c r="AN10" s="669"/>
      <c r="AO10" s="669"/>
      <c r="AP10" s="669"/>
      <c r="AQ10" s="669"/>
      <c r="AR10" s="670"/>
      <c r="AT10" s="79"/>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row>
    <row r="11" spans="1:204" s="5" customFormat="1" ht="4.5" customHeight="1" x14ac:dyDescent="0.3">
      <c r="B11" s="16"/>
      <c r="C11" s="14"/>
      <c r="D11" s="16"/>
      <c r="E11" s="595"/>
      <c r="F11" s="16"/>
      <c r="G11" s="604"/>
      <c r="H11" s="604"/>
      <c r="I11" s="604"/>
      <c r="J11" s="604"/>
      <c r="K11" s="605"/>
      <c r="L11" s="605"/>
      <c r="M11" s="605"/>
      <c r="N11" s="605"/>
      <c r="O11" s="605"/>
      <c r="P11" s="605"/>
      <c r="Q11" s="605"/>
      <c r="R11" s="605"/>
      <c r="S11" s="605"/>
      <c r="T11" s="605"/>
      <c r="U11" s="16"/>
      <c r="V11" s="14"/>
      <c r="W11" s="14"/>
      <c r="X11" s="16"/>
      <c r="Y11" s="16"/>
      <c r="Z11" s="606"/>
      <c r="AA11" s="606"/>
      <c r="AB11" s="606"/>
      <c r="AC11" s="606"/>
      <c r="AD11" s="606"/>
      <c r="AE11" s="606"/>
      <c r="AF11" s="16"/>
      <c r="AG11" s="602"/>
      <c r="AH11" s="602"/>
      <c r="AI11" s="602"/>
      <c r="AJ11" s="614"/>
      <c r="AK11" s="614"/>
      <c r="AL11" s="614"/>
      <c r="AM11" s="614"/>
      <c r="AN11" s="614"/>
      <c r="AO11" s="614"/>
      <c r="AP11" s="614"/>
      <c r="AQ11" s="614"/>
      <c r="AR11" s="614"/>
      <c r="AT11" s="79"/>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row>
    <row r="12" spans="1:204" x14ac:dyDescent="0.3">
      <c r="C12" s="691" t="s">
        <v>689</v>
      </c>
      <c r="D12" s="692"/>
      <c r="E12" s="692"/>
      <c r="F12" s="692"/>
      <c r="G12" s="692"/>
      <c r="H12" s="692"/>
      <c r="I12" s="692"/>
      <c r="J12" s="692"/>
      <c r="K12" s="692"/>
      <c r="L12" s="692"/>
      <c r="M12" s="692"/>
      <c r="N12" s="693"/>
      <c r="Q12" s="659" t="s">
        <v>690</v>
      </c>
      <c r="R12" s="660"/>
      <c r="S12" s="660"/>
      <c r="T12" s="660"/>
      <c r="U12" s="660"/>
      <c r="V12" s="660"/>
      <c r="W12" s="660"/>
      <c r="X12" s="660"/>
      <c r="Y12" s="660"/>
      <c r="Z12" s="660"/>
      <c r="AA12" s="660"/>
      <c r="AB12" s="661"/>
      <c r="AE12" s="691" t="s">
        <v>691</v>
      </c>
      <c r="AF12" s="692"/>
      <c r="AG12" s="692"/>
      <c r="AH12" s="692"/>
      <c r="AI12" s="692"/>
      <c r="AJ12" s="692"/>
      <c r="AK12" s="692"/>
      <c r="AL12" s="692"/>
      <c r="AM12" s="692"/>
      <c r="AN12" s="692"/>
      <c r="AO12" s="692"/>
      <c r="AP12" s="692"/>
      <c r="AQ12" s="692"/>
      <c r="AR12" s="693"/>
    </row>
    <row r="13" spans="1:204" ht="4.5" customHeight="1" x14ac:dyDescent="0.3"/>
    <row r="14" spans="1:204" x14ac:dyDescent="0.3">
      <c r="C14" s="691" t="s">
        <v>692</v>
      </c>
      <c r="D14" s="692"/>
      <c r="E14" s="692"/>
      <c r="F14" s="692"/>
      <c r="G14" s="692"/>
      <c r="H14" s="692"/>
      <c r="I14" s="692"/>
      <c r="J14" s="692"/>
      <c r="K14" s="692"/>
      <c r="L14" s="692"/>
      <c r="M14" s="692"/>
      <c r="N14" s="692"/>
      <c r="O14" s="692"/>
      <c r="P14" s="692"/>
      <c r="Q14" s="692"/>
      <c r="R14" s="693"/>
      <c r="S14" s="19"/>
      <c r="U14" s="691" t="s">
        <v>611</v>
      </c>
      <c r="V14" s="692"/>
      <c r="W14" s="692"/>
      <c r="X14" s="692"/>
      <c r="Y14" s="692"/>
      <c r="Z14" s="692"/>
      <c r="AA14" s="692"/>
      <c r="AB14" s="693"/>
      <c r="AD14" s="20"/>
      <c r="AE14" s="691" t="s">
        <v>877</v>
      </c>
      <c r="AF14" s="692"/>
      <c r="AG14" s="692"/>
      <c r="AH14" s="692"/>
      <c r="AI14" s="692"/>
      <c r="AJ14" s="692"/>
      <c r="AK14" s="692"/>
      <c r="AL14" s="692"/>
      <c r="AM14" s="692"/>
      <c r="AN14" s="692"/>
      <c r="AO14" s="692"/>
      <c r="AP14" s="692"/>
      <c r="AQ14" s="692"/>
      <c r="AR14" s="693"/>
    </row>
    <row r="15" spans="1:204" ht="7.5" customHeight="1" x14ac:dyDescent="0.3"/>
    <row r="16" spans="1:204" ht="25.3" x14ac:dyDescent="0.3">
      <c r="A16" s="690" t="s">
        <v>9158</v>
      </c>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row>
    <row r="17" spans="1:204" ht="4.5" customHeight="1" x14ac:dyDescent="0.3">
      <c r="C17" s="54"/>
      <c r="V17" s="21"/>
      <c r="W17" s="21"/>
      <c r="X17" s="21"/>
      <c r="Y17" s="21"/>
      <c r="Z17" s="21"/>
      <c r="AA17" s="21"/>
      <c r="AB17" s="21"/>
      <c r="AC17" s="21"/>
      <c r="AD17" s="21"/>
      <c r="AE17" s="21"/>
      <c r="AF17" s="21"/>
      <c r="AG17" s="21"/>
      <c r="AH17" s="21"/>
      <c r="AI17" s="21"/>
    </row>
    <row r="18" spans="1:204" ht="53.25" customHeight="1" x14ac:dyDescent="0.3">
      <c r="C18" s="713" t="str">
        <f>IF(calculations!B3=1,forms!A260,forms!A259)</f>
        <v>This self evaluation is provided to give you an idea of how TRG evaluates the risk management of your association and facilities. We do not consider a level met until all criteria are met, but do recognize that most of the time real life does not fit neatly into predefined boxes. We like to know, for example, that though only Gold is fully achieved (and thus marked), that all of Diamond is also done and that only one portion of Platinum prevents a higher score.</v>
      </c>
      <c r="D18" s="713"/>
      <c r="E18" s="713"/>
      <c r="F18" s="713"/>
      <c r="G18" s="713"/>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713"/>
      <c r="AF18" s="713"/>
      <c r="AG18" s="713"/>
      <c r="AH18" s="713"/>
      <c r="AI18" s="713"/>
      <c r="AJ18" s="713"/>
      <c r="AK18" s="713"/>
      <c r="AL18" s="713"/>
      <c r="AM18" s="713"/>
      <c r="AN18" s="713"/>
      <c r="AO18" s="713"/>
      <c r="AP18" s="713"/>
      <c r="AQ18" s="713"/>
      <c r="AR18" s="713"/>
      <c r="AW18" s="25"/>
    </row>
    <row r="19" spans="1:204" s="4" customFormat="1" ht="6" customHeight="1" x14ac:dyDescent="0.3">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T19" s="79"/>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row>
    <row r="20" spans="1:204" s="4" customFormat="1" ht="39.75" customHeight="1" x14ac:dyDescent="0.3">
      <c r="C20" s="751" t="str">
        <f>forms!A265</f>
        <v>If a Yellow or Red Flag is the highest level achieved or if a specific necessary behavior is not indicated, then a suggested remedy will be provided - it will include all of the criteria needed to achieve Gold Medal (or meet the specific behavioral need), so it may be more inclusive than necessary.</v>
      </c>
      <c r="D20" s="752"/>
      <c r="E20" s="752"/>
      <c r="F20" s="752"/>
      <c r="G20" s="752"/>
      <c r="H20" s="752"/>
      <c r="I20" s="752"/>
      <c r="J20" s="752"/>
      <c r="K20" s="752"/>
      <c r="L20" s="752"/>
      <c r="M20" s="752"/>
      <c r="N20" s="752"/>
      <c r="O20" s="752"/>
      <c r="P20" s="752"/>
      <c r="Q20" s="752"/>
      <c r="R20" s="752"/>
      <c r="S20" s="752"/>
      <c r="T20" s="752"/>
      <c r="U20" s="752"/>
      <c r="V20" s="752"/>
      <c r="W20" s="752"/>
      <c r="X20" s="752"/>
      <c r="Y20" s="752"/>
      <c r="Z20" s="752"/>
      <c r="AA20" s="752"/>
      <c r="AB20" s="752"/>
      <c r="AC20" s="752"/>
      <c r="AD20" s="752"/>
      <c r="AE20" s="752"/>
      <c r="AF20" s="752"/>
      <c r="AG20" s="752"/>
      <c r="AH20" s="752"/>
      <c r="AI20" s="752"/>
      <c r="AJ20" s="752"/>
      <c r="AK20" s="752"/>
      <c r="AL20" s="752"/>
      <c r="AM20" s="752"/>
      <c r="AN20" s="752"/>
      <c r="AO20" s="752"/>
      <c r="AP20" s="752"/>
      <c r="AQ20" s="752"/>
      <c r="AR20" s="752"/>
      <c r="AT20" s="79"/>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row>
    <row r="21" spans="1:204" s="4" customFormat="1" ht="4.5" customHeight="1" x14ac:dyDescent="0.3">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T21" s="79"/>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row>
    <row r="22" spans="1:204" s="4" customFormat="1" ht="68.25" customHeight="1" x14ac:dyDescent="0.3">
      <c r="C22" s="751" t="str">
        <f>forms!A266</f>
        <v>The document is designed for computer entry - many of the questions appear only as needed, in response to a previous answer. If there are response boxes with no questions it means that your responses did not generate further questions and you do not need to be concerned about those spaces. Empty boxes are sized large enough for the entire suggested correction to appear. If you wish to clear blank space after you have completed the form you can shrink rows as desired.</v>
      </c>
      <c r="D22" s="752"/>
      <c r="E22" s="752"/>
      <c r="F22" s="752"/>
      <c r="G22" s="752"/>
      <c r="H22" s="752"/>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752"/>
      <c r="AH22" s="752"/>
      <c r="AI22" s="752"/>
      <c r="AJ22" s="752"/>
      <c r="AK22" s="752"/>
      <c r="AL22" s="752"/>
      <c r="AM22" s="752"/>
      <c r="AN22" s="752"/>
      <c r="AO22" s="752"/>
      <c r="AP22" s="752"/>
      <c r="AQ22" s="752"/>
      <c r="AR22" s="752"/>
      <c r="AT22" s="79"/>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row>
    <row r="23" spans="1:204" s="4" customFormat="1" ht="4.5" customHeight="1" x14ac:dyDescent="0.3">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T23" s="79"/>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row>
    <row r="24" spans="1:204" ht="94.5" customHeight="1" x14ac:dyDescent="0.3">
      <c r="C24" s="753" t="str">
        <f>forms!A267</f>
        <v xml:space="preserve">© The Redwoods Group, 2009 - Risk Management services are provided by The Redwoods Group to assist insureds in fulfilling their responsibilities for the control of potential loss-producing situations involving their YMCA operations. The information contained is not intended as legal advice; it simply represents trends in the YMCA industry, related industries, and/or law. Laws and suggested standards are under constant review by courts, states, and trade groups. They can be vastly different in each jurisdiction. YMCAs are advised to seek the services of a local personal attorney for legal advice relating to any subject addressed. The information is provided "AS IS" without warranty of any kind and The Redwoods Group expressly disclaims all warranties and conditions with regard to any information contained, including all implied warranties of merchantability and fitness for a particular purpose. The Redwoods Group assumes no liability of any kind for information and data contained or for any course of action you may take in reliance thereon.  </v>
      </c>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row>
    <row r="25" spans="1:204" ht="15" customHeight="1" x14ac:dyDescent="0.3">
      <c r="C25" s="4"/>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row>
    <row r="26" spans="1:204" ht="25.3" x14ac:dyDescent="0.3">
      <c r="A26" s="689" t="s">
        <v>9160</v>
      </c>
      <c r="B26" s="689"/>
      <c r="C26" s="689"/>
      <c r="D26" s="689"/>
      <c r="E26" s="689"/>
      <c r="F26" s="689"/>
      <c r="G26" s="689"/>
      <c r="H26" s="689"/>
      <c r="I26" s="689"/>
      <c r="J26" s="689"/>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row>
    <row r="28" spans="1:204" ht="14.15" x14ac:dyDescent="0.3">
      <c r="C28" s="6" t="s">
        <v>1060</v>
      </c>
    </row>
    <row r="29" spans="1:204" ht="4.5" customHeight="1" x14ac:dyDescent="0.3">
      <c r="D29" s="6"/>
    </row>
    <row r="30" spans="1:204" s="214" customFormat="1" ht="15" customHeight="1" x14ac:dyDescent="0.3">
      <c r="A30" s="618"/>
      <c r="D30" s="565" t="s">
        <v>1930</v>
      </c>
      <c r="F30" s="570"/>
      <c r="G30" s="570"/>
      <c r="H30" s="570"/>
      <c r="I30" s="570"/>
      <c r="J30" s="565"/>
      <c r="K30" s="621" t="s">
        <v>1931</v>
      </c>
      <c r="L30" s="701"/>
      <c r="M30" s="702"/>
      <c r="N30" s="570"/>
      <c r="O30" s="570"/>
      <c r="P30" s="570"/>
      <c r="Q30" s="570"/>
      <c r="R30" s="578"/>
      <c r="S30" s="578"/>
      <c r="T30" s="622" t="s">
        <v>1934</v>
      </c>
      <c r="U30" s="701"/>
      <c r="V30" s="702"/>
      <c r="W30" s="570"/>
      <c r="X30" s="570"/>
      <c r="Y30" s="570"/>
      <c r="Z30" s="622" t="s">
        <v>1935</v>
      </c>
      <c r="AA30" s="701"/>
      <c r="AB30" s="702"/>
      <c r="AC30" s="570"/>
      <c r="AD30" s="570"/>
      <c r="AE30" s="570"/>
      <c r="AF30" s="622" t="s">
        <v>1936</v>
      </c>
      <c r="AG30" s="701"/>
      <c r="AH30" s="702"/>
      <c r="AI30" s="570"/>
      <c r="AJ30" s="570"/>
      <c r="AK30" s="622" t="s">
        <v>1932</v>
      </c>
      <c r="AL30" s="701"/>
      <c r="AM30" s="702"/>
      <c r="AN30" s="570"/>
      <c r="AO30" s="570"/>
      <c r="AP30" s="622" t="s">
        <v>1933</v>
      </c>
      <c r="AQ30" s="701"/>
      <c r="AR30" s="702"/>
      <c r="AT30" s="222"/>
    </row>
    <row r="31" spans="1:204" s="25" customFormat="1" ht="4.5" customHeight="1" x14ac:dyDescent="0.3">
      <c r="A31" s="619"/>
      <c r="D31" s="566"/>
      <c r="F31" s="566"/>
      <c r="G31" s="566"/>
      <c r="H31" s="566"/>
      <c r="I31" s="566"/>
      <c r="J31" s="566"/>
      <c r="K31" s="566"/>
      <c r="L31" s="566"/>
      <c r="M31" s="566"/>
      <c r="N31" s="566"/>
      <c r="O31" s="566"/>
      <c r="AT31" s="7"/>
    </row>
    <row r="32" spans="1:204" s="25" customFormat="1" ht="27.75" customHeight="1" x14ac:dyDescent="0.3">
      <c r="A32" s="619"/>
      <c r="C32" s="7"/>
      <c r="D32" s="224" t="s">
        <v>583</v>
      </c>
      <c r="E32" s="7"/>
      <c r="F32" s="7"/>
      <c r="G32" s="566"/>
      <c r="H32" s="566"/>
      <c r="I32" s="566"/>
      <c r="J32" s="566"/>
      <c r="K32" s="566"/>
      <c r="L32" s="566"/>
      <c r="M32" s="566"/>
      <c r="N32" s="566"/>
      <c r="O32" s="566"/>
      <c r="P32" s="710" t="s">
        <v>678</v>
      </c>
      <c r="Q32" s="711"/>
      <c r="R32" s="711"/>
      <c r="S32" s="711"/>
      <c r="T32" s="711"/>
      <c r="U32" s="711"/>
      <c r="V32" s="712"/>
      <c r="W32" s="214"/>
      <c r="X32" s="706" t="str">
        <f>IF(P32="yes","ages served, number of staff, details of staff involvement in meals or transportation","")</f>
        <v/>
      </c>
      <c r="Y32" s="707"/>
      <c r="Z32" s="707"/>
      <c r="AA32" s="707"/>
      <c r="AB32" s="707"/>
      <c r="AC32" s="707"/>
      <c r="AD32" s="707"/>
      <c r="AE32" s="707"/>
      <c r="AF32" s="707"/>
      <c r="AG32" s="707"/>
      <c r="AH32" s="707"/>
      <c r="AI32" s="707"/>
      <c r="AJ32" s="707"/>
      <c r="AK32" s="707"/>
      <c r="AL32" s="707"/>
      <c r="AM32" s="707"/>
      <c r="AN32" s="707"/>
      <c r="AO32" s="707"/>
      <c r="AP32" s="707"/>
      <c r="AQ32" s="707"/>
      <c r="AR32" s="708"/>
      <c r="AT32" s="7"/>
    </row>
    <row r="33" spans="1:47" s="25" customFormat="1" ht="4.5" customHeight="1" x14ac:dyDescent="0.3">
      <c r="A33" s="619"/>
      <c r="C33" s="7"/>
      <c r="D33" s="627"/>
      <c r="E33" s="7"/>
      <c r="F33" s="7"/>
      <c r="G33" s="566"/>
      <c r="H33" s="566"/>
      <c r="I33" s="566"/>
      <c r="J33" s="566"/>
      <c r="K33" s="566"/>
      <c r="L33" s="566"/>
      <c r="M33" s="566"/>
      <c r="N33" s="566"/>
      <c r="O33" s="566"/>
      <c r="P33" s="214"/>
      <c r="Q33" s="214"/>
      <c r="R33" s="214"/>
      <c r="S33" s="214"/>
      <c r="T33" s="214"/>
      <c r="U33" s="214"/>
      <c r="V33" s="214"/>
      <c r="W33" s="214"/>
      <c r="X33" s="212"/>
      <c r="Y33" s="212"/>
      <c r="Z33" s="212"/>
      <c r="AA33" s="212"/>
      <c r="AB33" s="212"/>
      <c r="AC33" s="212"/>
      <c r="AD33" s="212"/>
      <c r="AE33" s="212"/>
      <c r="AF33" s="212"/>
      <c r="AG33" s="212"/>
      <c r="AH33" s="212"/>
      <c r="AI33" s="212"/>
      <c r="AJ33" s="212"/>
      <c r="AK33" s="212"/>
      <c r="AL33" s="212"/>
      <c r="AM33" s="212"/>
      <c r="AN33" s="212"/>
      <c r="AO33" s="212"/>
      <c r="AP33" s="212"/>
      <c r="AQ33" s="212"/>
      <c r="AR33" s="212"/>
      <c r="AT33" s="7"/>
    </row>
    <row r="34" spans="1:47" s="25" customFormat="1" ht="26.25" customHeight="1" x14ac:dyDescent="0.3">
      <c r="A34" s="619"/>
      <c r="C34" s="7"/>
      <c r="D34" s="224" t="s">
        <v>588</v>
      </c>
      <c r="E34" s="7"/>
      <c r="F34" s="7"/>
      <c r="G34" s="566"/>
      <c r="H34" s="566"/>
      <c r="I34" s="566"/>
      <c r="J34" s="566"/>
      <c r="K34" s="566"/>
      <c r="L34" s="566"/>
      <c r="M34" s="566"/>
      <c r="N34" s="566"/>
      <c r="O34" s="566"/>
      <c r="P34" s="710" t="s">
        <v>678</v>
      </c>
      <c r="Q34" s="711"/>
      <c r="R34" s="711"/>
      <c r="S34" s="711"/>
      <c r="T34" s="711"/>
      <c r="U34" s="711"/>
      <c r="V34" s="712"/>
      <c r="W34" s="214"/>
      <c r="X34" s="706" t="str">
        <f>IF(P34="yes","ages served, number of staff, details of staff involvement in meals or transportation","")</f>
        <v/>
      </c>
      <c r="Y34" s="707"/>
      <c r="Z34" s="707"/>
      <c r="AA34" s="707"/>
      <c r="AB34" s="707"/>
      <c r="AC34" s="707"/>
      <c r="AD34" s="707"/>
      <c r="AE34" s="707"/>
      <c r="AF34" s="707"/>
      <c r="AG34" s="707"/>
      <c r="AH34" s="707"/>
      <c r="AI34" s="707"/>
      <c r="AJ34" s="707"/>
      <c r="AK34" s="707"/>
      <c r="AL34" s="707"/>
      <c r="AM34" s="707"/>
      <c r="AN34" s="707"/>
      <c r="AO34" s="707"/>
      <c r="AP34" s="707"/>
      <c r="AQ34" s="707"/>
      <c r="AR34" s="708"/>
      <c r="AT34" s="7"/>
      <c r="AU34" s="1"/>
    </row>
    <row r="35" spans="1:47" s="25" customFormat="1" ht="4.5" customHeight="1" x14ac:dyDescent="0.3">
      <c r="A35" s="619"/>
      <c r="C35" s="7"/>
      <c r="D35" s="224"/>
      <c r="E35" s="7"/>
      <c r="F35" s="7"/>
      <c r="G35" s="566"/>
      <c r="H35" s="566"/>
      <c r="I35" s="566"/>
      <c r="J35" s="566"/>
      <c r="K35" s="566"/>
      <c r="L35" s="566"/>
      <c r="M35" s="566"/>
      <c r="N35" s="566"/>
      <c r="O35" s="566"/>
      <c r="P35" s="214"/>
      <c r="Q35" s="214"/>
      <c r="R35" s="214"/>
      <c r="S35" s="214"/>
      <c r="T35" s="214"/>
      <c r="U35" s="214"/>
      <c r="V35" s="214"/>
      <c r="W35" s="214"/>
      <c r="X35" s="212"/>
      <c r="Y35" s="212"/>
      <c r="Z35" s="212"/>
      <c r="AA35" s="212"/>
      <c r="AB35" s="212"/>
      <c r="AC35" s="212"/>
      <c r="AD35" s="212"/>
      <c r="AE35" s="212"/>
      <c r="AF35" s="212"/>
      <c r="AG35" s="212"/>
      <c r="AH35" s="212"/>
      <c r="AI35" s="212"/>
      <c r="AJ35" s="212"/>
      <c r="AK35" s="212"/>
      <c r="AL35" s="212"/>
      <c r="AM35" s="212"/>
      <c r="AN35" s="212"/>
      <c r="AO35" s="212"/>
      <c r="AP35" s="212"/>
      <c r="AQ35" s="212"/>
      <c r="AR35" s="212"/>
      <c r="AT35" s="7"/>
    </row>
    <row r="36" spans="1:47" s="25" customFormat="1" ht="25.5" customHeight="1" x14ac:dyDescent="0.3">
      <c r="A36" s="619"/>
      <c r="C36" s="7"/>
      <c r="D36" s="224" t="s">
        <v>589</v>
      </c>
      <c r="E36" s="7"/>
      <c r="F36" s="7"/>
      <c r="G36" s="566"/>
      <c r="H36" s="566"/>
      <c r="I36" s="566"/>
      <c r="J36" s="566"/>
      <c r="K36" s="566"/>
      <c r="L36" s="566"/>
      <c r="M36" s="566"/>
      <c r="N36" s="566"/>
      <c r="O36" s="566"/>
      <c r="P36" s="710" t="s">
        <v>678</v>
      </c>
      <c r="Q36" s="711"/>
      <c r="R36" s="711"/>
      <c r="S36" s="711"/>
      <c r="T36" s="711"/>
      <c r="U36" s="711"/>
      <c r="V36" s="712"/>
      <c r="W36" s="214"/>
      <c r="X36" s="706" t="str">
        <f>IF(P36="yes","number of staff, details of staff involvement in meals or transportation","")</f>
        <v/>
      </c>
      <c r="Y36" s="707"/>
      <c r="Z36" s="707"/>
      <c r="AA36" s="707"/>
      <c r="AB36" s="707"/>
      <c r="AC36" s="707"/>
      <c r="AD36" s="707"/>
      <c r="AE36" s="707"/>
      <c r="AF36" s="707"/>
      <c r="AG36" s="707"/>
      <c r="AH36" s="707"/>
      <c r="AI36" s="707"/>
      <c r="AJ36" s="707"/>
      <c r="AK36" s="707"/>
      <c r="AL36" s="707"/>
      <c r="AM36" s="707"/>
      <c r="AN36" s="707"/>
      <c r="AO36" s="707"/>
      <c r="AP36" s="707"/>
      <c r="AQ36" s="707"/>
      <c r="AR36" s="708"/>
      <c r="AT36" s="7"/>
    </row>
    <row r="37" spans="1:47" s="25" customFormat="1" ht="4.5" customHeight="1" x14ac:dyDescent="0.3">
      <c r="A37" s="619"/>
      <c r="C37" s="7"/>
      <c r="D37" s="627"/>
      <c r="E37" s="7"/>
      <c r="F37" s="7"/>
      <c r="G37" s="566"/>
      <c r="H37" s="566"/>
      <c r="I37" s="566"/>
      <c r="J37" s="566"/>
      <c r="K37" s="566"/>
      <c r="L37" s="566"/>
      <c r="M37" s="566"/>
      <c r="N37" s="566"/>
      <c r="O37" s="566"/>
      <c r="P37" s="214"/>
      <c r="Q37" s="214"/>
      <c r="R37" s="214"/>
      <c r="S37" s="214"/>
      <c r="T37" s="214"/>
      <c r="U37" s="214"/>
      <c r="V37" s="214"/>
      <c r="W37" s="214"/>
      <c r="X37" s="212"/>
      <c r="Y37" s="212"/>
      <c r="Z37" s="212"/>
      <c r="AA37" s="212"/>
      <c r="AB37" s="212"/>
      <c r="AC37" s="212"/>
      <c r="AD37" s="212"/>
      <c r="AE37" s="212"/>
      <c r="AF37" s="212"/>
      <c r="AG37" s="212"/>
      <c r="AH37" s="212"/>
      <c r="AI37" s="212"/>
      <c r="AJ37" s="212"/>
      <c r="AK37" s="212"/>
      <c r="AL37" s="212"/>
      <c r="AM37" s="212"/>
      <c r="AN37" s="212"/>
      <c r="AO37" s="212"/>
      <c r="AP37" s="212"/>
      <c r="AQ37" s="212"/>
      <c r="AR37" s="212"/>
      <c r="AT37" s="7"/>
    </row>
    <row r="38" spans="1:47" s="25" customFormat="1" ht="38.25" customHeight="1" x14ac:dyDescent="0.3">
      <c r="A38" s="619"/>
      <c r="C38" s="7"/>
      <c r="D38" s="224" t="s">
        <v>590</v>
      </c>
      <c r="E38" s="7"/>
      <c r="F38" s="7"/>
      <c r="G38" s="566"/>
      <c r="H38" s="566"/>
      <c r="I38" s="566"/>
      <c r="J38" s="566"/>
      <c r="K38" s="566"/>
      <c r="L38" s="566"/>
      <c r="M38" s="566"/>
      <c r="N38" s="566"/>
      <c r="O38" s="566"/>
      <c r="P38" s="710" t="s">
        <v>678</v>
      </c>
      <c r="Q38" s="711"/>
      <c r="R38" s="711"/>
      <c r="S38" s="711"/>
      <c r="T38" s="711"/>
      <c r="U38" s="711"/>
      <c r="V38" s="712"/>
      <c r="W38" s="214"/>
      <c r="X38" s="706" t="str">
        <f>IF(P38="yes","number of staff, details of staff involvement in meals or transportation, using dedicated space or space used for another purpose when not SACC","")</f>
        <v/>
      </c>
      <c r="Y38" s="707"/>
      <c r="Z38" s="707"/>
      <c r="AA38" s="707"/>
      <c r="AB38" s="707"/>
      <c r="AC38" s="707"/>
      <c r="AD38" s="707"/>
      <c r="AE38" s="707"/>
      <c r="AF38" s="707"/>
      <c r="AG38" s="707"/>
      <c r="AH38" s="707"/>
      <c r="AI38" s="707"/>
      <c r="AJ38" s="707"/>
      <c r="AK38" s="707"/>
      <c r="AL38" s="707"/>
      <c r="AM38" s="707"/>
      <c r="AN38" s="707"/>
      <c r="AO38" s="707"/>
      <c r="AP38" s="707"/>
      <c r="AQ38" s="707"/>
      <c r="AR38" s="708"/>
      <c r="AT38" s="7"/>
    </row>
    <row r="39" spans="1:47" s="25" customFormat="1" ht="4.5" customHeight="1" x14ac:dyDescent="0.3">
      <c r="A39" s="619"/>
      <c r="C39" s="7"/>
      <c r="D39" s="224"/>
      <c r="E39" s="7"/>
      <c r="F39" s="7"/>
      <c r="G39" s="566"/>
      <c r="H39" s="566"/>
      <c r="I39" s="566"/>
      <c r="J39" s="566"/>
      <c r="K39" s="566"/>
      <c r="L39" s="566"/>
      <c r="M39" s="566"/>
      <c r="N39" s="566"/>
      <c r="O39" s="566"/>
      <c r="P39" s="224"/>
      <c r="Q39" s="224"/>
      <c r="R39" s="224"/>
      <c r="S39" s="224"/>
      <c r="T39" s="224"/>
      <c r="U39" s="224"/>
      <c r="V39" s="224"/>
      <c r="W39" s="214"/>
      <c r="X39" s="560"/>
      <c r="Y39" s="560"/>
      <c r="Z39" s="560"/>
      <c r="AA39" s="560"/>
      <c r="AB39" s="560"/>
      <c r="AC39" s="560"/>
      <c r="AD39" s="560"/>
      <c r="AE39" s="560"/>
      <c r="AF39" s="560"/>
      <c r="AG39" s="560"/>
      <c r="AH39" s="560"/>
      <c r="AI39" s="560"/>
      <c r="AJ39" s="560"/>
      <c r="AK39" s="560"/>
      <c r="AL39" s="560"/>
      <c r="AM39" s="560"/>
      <c r="AN39" s="560"/>
      <c r="AO39" s="560"/>
      <c r="AP39" s="560"/>
      <c r="AQ39" s="560"/>
      <c r="AR39" s="560"/>
      <c r="AT39" s="7"/>
    </row>
    <row r="40" spans="1:47" s="25" customFormat="1" ht="27.75" customHeight="1" x14ac:dyDescent="0.3">
      <c r="A40" s="619"/>
      <c r="C40" s="7"/>
      <c r="D40" s="590" t="s">
        <v>595</v>
      </c>
      <c r="E40" s="7"/>
      <c r="F40" s="7"/>
      <c r="G40" s="566"/>
      <c r="H40" s="566"/>
      <c r="I40" s="566"/>
      <c r="J40" s="566"/>
      <c r="K40" s="566"/>
      <c r="L40" s="566"/>
      <c r="M40" s="566"/>
      <c r="N40" s="566"/>
      <c r="O40" s="566"/>
      <c r="P40" s="710" t="s">
        <v>678</v>
      </c>
      <c r="Q40" s="711"/>
      <c r="R40" s="711"/>
      <c r="S40" s="711"/>
      <c r="T40" s="711"/>
      <c r="U40" s="711"/>
      <c r="V40" s="712"/>
      <c r="W40" s="568">
        <f>IF(LEFT(P40,1)="d",1,0)</f>
        <v>0</v>
      </c>
      <c r="X40" s="706" t="str">
        <f>IF(P40="select","",IF(P40="no","","number of staff, staff involvement in meals or transportation, number and type of field trips, activities beyond the norm"))</f>
        <v/>
      </c>
      <c r="Y40" s="707"/>
      <c r="Z40" s="707"/>
      <c r="AA40" s="707"/>
      <c r="AB40" s="707"/>
      <c r="AC40" s="707"/>
      <c r="AD40" s="707"/>
      <c r="AE40" s="707"/>
      <c r="AF40" s="707"/>
      <c r="AG40" s="707"/>
      <c r="AH40" s="707"/>
      <c r="AI40" s="707"/>
      <c r="AJ40" s="707"/>
      <c r="AK40" s="707"/>
      <c r="AL40" s="707"/>
      <c r="AM40" s="707"/>
      <c r="AN40" s="707"/>
      <c r="AO40" s="707"/>
      <c r="AP40" s="707"/>
      <c r="AQ40" s="707"/>
      <c r="AR40" s="708"/>
      <c r="AT40" s="7"/>
    </row>
    <row r="41" spans="1:47" s="25" customFormat="1" ht="4.5" customHeight="1" x14ac:dyDescent="0.3">
      <c r="A41" s="619"/>
      <c r="C41" s="7"/>
      <c r="D41" s="590"/>
      <c r="E41" s="7"/>
      <c r="F41" s="7"/>
      <c r="G41" s="566"/>
      <c r="H41" s="566"/>
      <c r="I41" s="566"/>
      <c r="J41" s="566"/>
      <c r="K41" s="566"/>
      <c r="L41" s="566"/>
      <c r="M41" s="566"/>
      <c r="N41" s="566"/>
      <c r="O41" s="566"/>
      <c r="P41" s="214"/>
      <c r="Q41" s="214"/>
      <c r="R41" s="214"/>
      <c r="S41" s="214"/>
      <c r="T41" s="214"/>
      <c r="U41" s="214"/>
      <c r="V41" s="214"/>
      <c r="W41" s="568"/>
      <c r="X41" s="214"/>
      <c r="Y41" s="214"/>
      <c r="Z41" s="214"/>
      <c r="AA41" s="214"/>
      <c r="AB41" s="214"/>
      <c r="AC41" s="214"/>
      <c r="AD41" s="214"/>
      <c r="AE41" s="214"/>
      <c r="AF41" s="214"/>
      <c r="AG41" s="214"/>
      <c r="AH41" s="214"/>
      <c r="AI41" s="214"/>
      <c r="AJ41" s="214"/>
      <c r="AK41" s="214"/>
      <c r="AL41" s="214"/>
      <c r="AM41" s="214"/>
      <c r="AN41" s="214"/>
      <c r="AO41" s="214"/>
      <c r="AP41" s="214"/>
      <c r="AQ41" s="214"/>
      <c r="AR41" s="214"/>
      <c r="AT41" s="7"/>
    </row>
    <row r="42" spans="1:47" s="25" customFormat="1" ht="27" customHeight="1" x14ac:dyDescent="0.3">
      <c r="A42" s="619"/>
      <c r="C42" s="7"/>
      <c r="D42" s="590" t="s">
        <v>594</v>
      </c>
      <c r="E42" s="7"/>
      <c r="F42" s="7"/>
      <c r="G42" s="566"/>
      <c r="H42" s="566"/>
      <c r="I42" s="566"/>
      <c r="J42" s="566"/>
      <c r="K42" s="566"/>
      <c r="L42" s="566"/>
      <c r="M42" s="566"/>
      <c r="N42" s="566"/>
      <c r="O42" s="566"/>
      <c r="P42" s="710" t="s">
        <v>678</v>
      </c>
      <c r="Q42" s="711"/>
      <c r="R42" s="711"/>
      <c r="S42" s="711"/>
      <c r="T42" s="711"/>
      <c r="U42" s="711"/>
      <c r="V42" s="712"/>
      <c r="W42" s="568">
        <f>IF(LEFT(P42,5)="owned",1,IF(P42="leased",1,IF(AQ40="yes",1,0)))</f>
        <v>0</v>
      </c>
      <c r="X42" s="706" t="str">
        <f>IF(LEFT(P42,1)="o","General facts - size (acreage), major structures, years of operation, location in relation to major city",IF(P42="leased","please provide brief description of camp, ownership, time used, facilities/staff leased",IF(LEFT(P42,4)="send","please provide brief description of camp, ownership, duties of staff who attend (if any)","")))</f>
        <v/>
      </c>
      <c r="Y42" s="707"/>
      <c r="Z42" s="707"/>
      <c r="AA42" s="707"/>
      <c r="AB42" s="707"/>
      <c r="AC42" s="707"/>
      <c r="AD42" s="707"/>
      <c r="AE42" s="707"/>
      <c r="AF42" s="707"/>
      <c r="AG42" s="707"/>
      <c r="AH42" s="707"/>
      <c r="AI42" s="707"/>
      <c r="AJ42" s="707"/>
      <c r="AK42" s="707"/>
      <c r="AL42" s="707"/>
      <c r="AM42" s="707"/>
      <c r="AN42" s="707"/>
      <c r="AO42" s="707"/>
      <c r="AP42" s="707"/>
      <c r="AQ42" s="707"/>
      <c r="AR42" s="708"/>
      <c r="AT42" s="7"/>
    </row>
    <row r="43" spans="1:47" s="25" customFormat="1" ht="4.5" customHeight="1" x14ac:dyDescent="0.3">
      <c r="A43" s="619"/>
      <c r="C43" s="7"/>
      <c r="D43" s="7"/>
      <c r="E43" s="57"/>
      <c r="P43" s="218"/>
      <c r="Q43" s="579"/>
      <c r="R43" s="218"/>
      <c r="S43" s="218"/>
      <c r="T43" s="218"/>
      <c r="U43" s="580"/>
      <c r="V43" s="218"/>
      <c r="W43" s="223"/>
      <c r="X43" s="560"/>
      <c r="Y43" s="560"/>
      <c r="Z43" s="560"/>
      <c r="AA43" s="560"/>
      <c r="AB43" s="560"/>
      <c r="AC43" s="560"/>
      <c r="AD43" s="560"/>
      <c r="AE43" s="560"/>
      <c r="AF43" s="560"/>
      <c r="AG43" s="560"/>
      <c r="AH43" s="560"/>
      <c r="AI43" s="560"/>
      <c r="AJ43" s="560"/>
      <c r="AK43" s="560"/>
      <c r="AL43" s="560"/>
      <c r="AM43" s="560"/>
      <c r="AN43" s="560"/>
      <c r="AO43" s="560"/>
      <c r="AP43" s="560"/>
      <c r="AQ43" s="560"/>
      <c r="AR43" s="560"/>
      <c r="AT43" s="7"/>
    </row>
    <row r="44" spans="1:47" s="25" customFormat="1" ht="14.25" customHeight="1" x14ac:dyDescent="0.3">
      <c r="A44" s="619"/>
      <c r="C44" s="7"/>
      <c r="D44" s="7"/>
      <c r="E44" s="714" t="str">
        <f>IF(W40=1,"Click here to access the required Camping Sheet",IF(W42=1,"Click here to access the required Camping Sheet",""))</f>
        <v/>
      </c>
      <c r="F44" s="714"/>
      <c r="G44" s="714"/>
      <c r="H44" s="714"/>
      <c r="I44" s="714"/>
      <c r="J44" s="714"/>
      <c r="K44" s="714"/>
      <c r="L44" s="714"/>
      <c r="M44" s="714"/>
      <c r="N44" s="714"/>
      <c r="O44" s="714"/>
      <c r="P44" s="714"/>
      <c r="Q44" s="714"/>
      <c r="R44" s="714"/>
      <c r="S44" s="714"/>
      <c r="T44" s="714"/>
      <c r="U44" s="714"/>
      <c r="V44" s="714"/>
      <c r="W44" s="714"/>
      <c r="X44" s="714"/>
      <c r="Y44" s="714"/>
      <c r="AA44" s="581" t="str">
        <f>IF(W40=1,"camp grading",IF(W42=1,"camp grading",""))</f>
        <v/>
      </c>
      <c r="AB44" s="581"/>
      <c r="AC44" s="581"/>
      <c r="AD44" s="581"/>
      <c r="AE44" s="581"/>
      <c r="AF44" s="582"/>
      <c r="AG44" s="628" t="str">
        <f>IF(W42=1,Camping!N20,"")</f>
        <v/>
      </c>
      <c r="AH44" s="583"/>
      <c r="AI44" s="583"/>
      <c r="AJ44" s="583"/>
      <c r="AK44" s="584"/>
      <c r="AL44" s="583"/>
      <c r="AM44" s="583"/>
      <c r="AN44" s="583"/>
      <c r="AO44" s="582"/>
      <c r="AP44" s="715" t="str">
        <f>IF(W42=1,Camping!AP20,"")</f>
        <v/>
      </c>
      <c r="AQ44" s="715"/>
      <c r="AR44" s="715"/>
      <c r="AT44" s="7"/>
    </row>
    <row r="45" spans="1:47" s="25" customFormat="1" ht="4.5" customHeight="1" x14ac:dyDescent="0.3">
      <c r="A45" s="619"/>
      <c r="C45" s="7"/>
      <c r="D45" s="7"/>
      <c r="E45" s="57"/>
      <c r="AT45" s="7"/>
    </row>
    <row r="46" spans="1:47" s="25" customFormat="1" ht="24" customHeight="1" x14ac:dyDescent="0.3">
      <c r="A46" s="619"/>
      <c r="C46" s="7"/>
      <c r="D46" s="561" t="s">
        <v>1937</v>
      </c>
      <c r="P46" s="710" t="s">
        <v>678</v>
      </c>
      <c r="Q46" s="711"/>
      <c r="R46" s="711"/>
      <c r="S46" s="711"/>
      <c r="T46" s="711"/>
      <c r="U46" s="711"/>
      <c r="V46" s="712"/>
      <c r="W46" s="214"/>
      <c r="X46" s="706" t="str">
        <f>IF(P46="yes","note unusual sports; specify whether coaches or referees are volunteer, paid, or out-sourced; on or off-site","")</f>
        <v/>
      </c>
      <c r="Y46" s="707"/>
      <c r="Z46" s="707"/>
      <c r="AA46" s="707"/>
      <c r="AB46" s="707"/>
      <c r="AC46" s="707"/>
      <c r="AD46" s="707"/>
      <c r="AE46" s="707"/>
      <c r="AF46" s="707"/>
      <c r="AG46" s="707"/>
      <c r="AH46" s="707"/>
      <c r="AI46" s="707"/>
      <c r="AJ46" s="707"/>
      <c r="AK46" s="707"/>
      <c r="AL46" s="707"/>
      <c r="AM46" s="707"/>
      <c r="AN46" s="707"/>
      <c r="AO46" s="707"/>
      <c r="AP46" s="707"/>
      <c r="AQ46" s="707"/>
      <c r="AR46" s="708"/>
      <c r="AT46" s="7"/>
    </row>
    <row r="47" spans="1:47" s="25" customFormat="1" ht="4.5" customHeight="1" x14ac:dyDescent="0.3">
      <c r="A47" s="619"/>
      <c r="C47" s="7"/>
      <c r="D47" s="561"/>
      <c r="P47" s="559"/>
      <c r="Q47" s="559"/>
      <c r="R47" s="559"/>
      <c r="S47" s="559"/>
      <c r="T47" s="559"/>
      <c r="U47" s="559"/>
      <c r="V47" s="559"/>
      <c r="W47" s="214"/>
      <c r="X47" s="558"/>
      <c r="Y47" s="558"/>
      <c r="Z47" s="558"/>
      <c r="AA47" s="558"/>
      <c r="AB47" s="558"/>
      <c r="AC47" s="558"/>
      <c r="AD47" s="558"/>
      <c r="AE47" s="558"/>
      <c r="AF47" s="558"/>
      <c r="AG47" s="558"/>
      <c r="AH47" s="558"/>
      <c r="AI47" s="558"/>
      <c r="AJ47" s="558"/>
      <c r="AK47" s="558"/>
      <c r="AL47" s="558"/>
      <c r="AM47" s="558"/>
      <c r="AN47" s="558"/>
      <c r="AO47" s="558"/>
      <c r="AP47" s="558"/>
      <c r="AQ47" s="558"/>
      <c r="AR47" s="558"/>
      <c r="AT47" s="7"/>
    </row>
    <row r="48" spans="1:47" s="25" customFormat="1" ht="27" customHeight="1" x14ac:dyDescent="0.3">
      <c r="A48" s="619"/>
      <c r="C48" s="7"/>
      <c r="D48" s="561" t="s">
        <v>1938</v>
      </c>
      <c r="P48" s="710" t="s">
        <v>678</v>
      </c>
      <c r="Q48" s="711"/>
      <c r="R48" s="711"/>
      <c r="S48" s="711"/>
      <c r="T48" s="711"/>
      <c r="U48" s="711"/>
      <c r="V48" s="712"/>
      <c r="W48" s="214"/>
      <c r="X48" s="706" t="str">
        <f>IF(P48="yes","specify whether coaches or referees are volunteer, paid, or out-sourced; on or off-site; appropriate controls?","")</f>
        <v/>
      </c>
      <c r="Y48" s="707"/>
      <c r="Z48" s="707"/>
      <c r="AA48" s="707"/>
      <c r="AB48" s="707"/>
      <c r="AC48" s="707"/>
      <c r="AD48" s="707"/>
      <c r="AE48" s="707"/>
      <c r="AF48" s="707"/>
      <c r="AG48" s="707"/>
      <c r="AH48" s="707"/>
      <c r="AI48" s="707"/>
      <c r="AJ48" s="707"/>
      <c r="AK48" s="707"/>
      <c r="AL48" s="707"/>
      <c r="AM48" s="707"/>
      <c r="AN48" s="707"/>
      <c r="AO48" s="707"/>
      <c r="AP48" s="707"/>
      <c r="AQ48" s="707"/>
      <c r="AR48" s="708"/>
      <c r="AT48" s="7"/>
    </row>
    <row r="49" spans="1:46" s="25" customFormat="1" ht="4.5" customHeight="1" x14ac:dyDescent="0.3">
      <c r="A49" s="619"/>
      <c r="C49" s="7"/>
      <c r="D49" s="561"/>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T49" s="7"/>
    </row>
    <row r="50" spans="1:46" s="566" customFormat="1" ht="14.25" customHeight="1" x14ac:dyDescent="0.3">
      <c r="A50" s="620"/>
      <c r="D50" s="569" t="s">
        <v>596</v>
      </c>
      <c r="P50" s="718" t="s">
        <v>678</v>
      </c>
      <c r="Q50" s="719"/>
      <c r="R50" s="719"/>
      <c r="S50" s="719"/>
      <c r="T50" s="719"/>
      <c r="U50" s="719"/>
      <c r="V50" s="720"/>
      <c r="W50" s="570"/>
      <c r="X50" s="623" t="str">
        <f>IF(P50="yes","# BEDS","")</f>
        <v/>
      </c>
      <c r="Y50" s="571"/>
      <c r="Z50" s="571"/>
      <c r="AA50" s="701"/>
      <c r="AB50" s="702"/>
      <c r="AC50" s="571"/>
      <c r="AE50" s="571"/>
      <c r="AF50" s="571"/>
      <c r="AG50" s="571"/>
      <c r="AH50" s="624" t="str">
        <f>IF(P50="yes"," #  BY OTHERS","")</f>
        <v/>
      </c>
      <c r="AI50" s="701"/>
      <c r="AJ50" s="702"/>
      <c r="AK50" s="571"/>
      <c r="AO50" s="624" t="str">
        <f>IF(P50="yes","OCC. RATE","")</f>
        <v/>
      </c>
      <c r="AP50" s="701"/>
      <c r="AQ50" s="702"/>
      <c r="AR50" s="566" t="s">
        <v>578</v>
      </c>
    </row>
    <row r="51" spans="1:46" s="566" customFormat="1" ht="4.5" customHeight="1" x14ac:dyDescent="0.3">
      <c r="A51" s="620"/>
      <c r="D51" s="569"/>
      <c r="P51" s="574"/>
      <c r="Q51" s="574"/>
      <c r="R51" s="574"/>
      <c r="S51" s="574"/>
      <c r="T51" s="574"/>
      <c r="U51" s="574"/>
      <c r="V51" s="574"/>
      <c r="W51" s="570"/>
      <c r="X51" s="571"/>
      <c r="Y51" s="571"/>
      <c r="Z51" s="571"/>
      <c r="AA51" s="585"/>
      <c r="AB51" s="585"/>
      <c r="AC51" s="571"/>
      <c r="AE51" s="571"/>
      <c r="AF51" s="571"/>
      <c r="AG51" s="571"/>
      <c r="AH51" s="573"/>
      <c r="AI51" s="585"/>
      <c r="AJ51" s="585"/>
      <c r="AK51" s="571"/>
      <c r="AO51" s="573"/>
      <c r="AP51" s="585"/>
      <c r="AQ51" s="585"/>
    </row>
    <row r="52" spans="1:46" s="566" customFormat="1" ht="15" customHeight="1" x14ac:dyDescent="0.3">
      <c r="A52" s="620"/>
      <c r="D52" s="570" t="str">
        <f>IF(P50="yes","    CHECK ALL THAT ARE TRUE","")</f>
        <v/>
      </c>
      <c r="P52" s="574"/>
      <c r="Q52" s="574"/>
      <c r="R52" s="574"/>
      <c r="S52" s="574"/>
      <c r="T52" s="574"/>
      <c r="U52" s="574"/>
      <c r="V52" s="574"/>
      <c r="W52" s="570"/>
      <c r="X52" s="571"/>
      <c r="Y52" s="571"/>
      <c r="Z52" s="571"/>
      <c r="AA52" s="585"/>
      <c r="AB52" s="585"/>
      <c r="AC52" s="571"/>
      <c r="AE52" s="571"/>
      <c r="AF52" s="571"/>
      <c r="AG52" s="571"/>
      <c r="AH52" s="573"/>
      <c r="AI52" s="585"/>
      <c r="AJ52" s="585"/>
      <c r="AK52" s="571"/>
      <c r="AO52" s="573"/>
      <c r="AP52" s="585"/>
      <c r="AQ52" s="585"/>
    </row>
    <row r="53" spans="1:46" s="566" customFormat="1" ht="4.5" customHeight="1" x14ac:dyDescent="0.3">
      <c r="A53" s="620"/>
      <c r="D53" s="570"/>
      <c r="P53" s="574"/>
      <c r="Q53" s="574"/>
      <c r="R53" s="574"/>
      <c r="S53" s="574"/>
      <c r="T53" s="574"/>
      <c r="U53" s="574"/>
      <c r="V53" s="574"/>
      <c r="W53" s="570"/>
      <c r="X53" s="571"/>
      <c r="Y53" s="571"/>
      <c r="Z53" s="571"/>
      <c r="AA53" s="585"/>
      <c r="AB53" s="585"/>
      <c r="AC53" s="571"/>
      <c r="AE53" s="571"/>
      <c r="AF53" s="571"/>
      <c r="AG53" s="571"/>
      <c r="AH53" s="573"/>
      <c r="AI53" s="585"/>
      <c r="AJ53" s="585"/>
      <c r="AK53" s="571"/>
      <c r="AO53" s="573"/>
      <c r="AP53" s="585"/>
      <c r="AQ53" s="585"/>
    </row>
    <row r="54" spans="1:46" s="566" customFormat="1" ht="15" customHeight="1" x14ac:dyDescent="0.3">
      <c r="A54" s="620"/>
      <c r="D54" s="570"/>
      <c r="P54" s="574"/>
      <c r="Q54" s="574"/>
      <c r="R54" s="574"/>
      <c r="S54" s="574"/>
      <c r="T54" s="574"/>
      <c r="U54" s="574"/>
      <c r="V54" s="574"/>
      <c r="W54" s="570"/>
      <c r="X54" s="571"/>
      <c r="Y54" s="571"/>
      <c r="Z54" s="571"/>
      <c r="AA54" s="577" t="str">
        <f>IF(calculations!X19,"frequency:","")</f>
        <v/>
      </c>
      <c r="AB54" s="585"/>
      <c r="AC54" s="571"/>
      <c r="AE54" s="703"/>
      <c r="AF54" s="704"/>
      <c r="AG54" s="704"/>
      <c r="AH54" s="705"/>
      <c r="AI54" s="585"/>
      <c r="AJ54" s="585"/>
      <c r="AK54" s="571"/>
      <c r="AO54" s="573"/>
      <c r="AP54" s="585"/>
      <c r="AQ54" s="585"/>
    </row>
    <row r="55" spans="1:46" s="25" customFormat="1" ht="4.5" customHeight="1" x14ac:dyDescent="0.3">
      <c r="A55" s="619"/>
      <c r="C55" s="7"/>
      <c r="D55" s="561"/>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T55" s="7"/>
    </row>
    <row r="56" spans="1:46" s="25" customFormat="1" ht="15.75" customHeight="1" x14ac:dyDescent="0.3">
      <c r="A56" s="619"/>
      <c r="C56" s="7"/>
      <c r="D56" s="561" t="s">
        <v>1929</v>
      </c>
      <c r="P56" s="710" t="s">
        <v>678</v>
      </c>
      <c r="Q56" s="711"/>
      <c r="R56" s="711"/>
      <c r="S56" s="711"/>
      <c r="T56" s="711"/>
      <c r="U56" s="711"/>
      <c r="V56" s="712"/>
      <c r="W56" s="214"/>
      <c r="X56" s="694" t="str">
        <f>IF(P56="yes","Social Programs Sheet disabled - use Other Considerations","")</f>
        <v/>
      </c>
      <c r="Y56" s="694"/>
      <c r="Z56" s="694"/>
      <c r="AA56" s="694"/>
      <c r="AB56" s="694"/>
      <c r="AC56" s="694"/>
      <c r="AD56" s="694"/>
      <c r="AE56" s="694"/>
      <c r="AF56" s="694"/>
      <c r="AG56" s="694"/>
      <c r="AH56" s="694"/>
      <c r="AI56" s="694"/>
      <c r="AJ56" s="694"/>
      <c r="AK56" s="694"/>
      <c r="AL56" s="694"/>
      <c r="AM56" s="694"/>
      <c r="AN56" s="694"/>
      <c r="AO56" s="694"/>
      <c r="AP56" s="694"/>
      <c r="AQ56" s="694"/>
      <c r="AR56" s="694"/>
      <c r="AT56" s="7"/>
    </row>
    <row r="57" spans="1:46" ht="4.5" customHeight="1" x14ac:dyDescent="0.3">
      <c r="A57" s="77"/>
      <c r="C57" s="26"/>
      <c r="D57" s="221"/>
      <c r="F57" s="26"/>
      <c r="G57" s="26"/>
      <c r="H57" s="26"/>
      <c r="I57" s="26"/>
      <c r="J57" s="26"/>
      <c r="K57" s="26"/>
      <c r="L57" s="26"/>
      <c r="M57" s="26"/>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row>
    <row r="58" spans="1:46" x14ac:dyDescent="0.3">
      <c r="A58" s="77"/>
      <c r="D58" s="221" t="s">
        <v>187</v>
      </c>
      <c r="J58" s="1" t="s">
        <v>188</v>
      </c>
      <c r="Q58" s="29" t="s">
        <v>261</v>
      </c>
      <c r="R58" s="722"/>
      <c r="S58" s="723"/>
      <c r="W58" s="29" t="s">
        <v>263</v>
      </c>
      <c r="X58" s="722"/>
      <c r="Y58" s="723"/>
      <c r="AF58" s="29" t="s">
        <v>262</v>
      </c>
      <c r="AG58" s="722"/>
      <c r="AH58" s="723"/>
      <c r="AP58" s="29" t="s">
        <v>264</v>
      </c>
      <c r="AQ58" s="722"/>
      <c r="AR58" s="723"/>
    </row>
    <row r="59" spans="1:46" ht="4.5" customHeight="1" x14ac:dyDescent="0.3">
      <c r="A59" s="77"/>
      <c r="D59" s="221"/>
    </row>
    <row r="60" spans="1:46" ht="27.75" customHeight="1" x14ac:dyDescent="0.3">
      <c r="A60" s="77"/>
      <c r="D60" s="221"/>
      <c r="N60" s="4" t="str">
        <f>IF(AG58&gt;0,"details of managed pools",IF(AQ58&gt;0,"details of managed pools",""))</f>
        <v/>
      </c>
      <c r="X60" s="706" t="str">
        <f>IF(N60="","","for whom [list all], duration, services provided, duties of owners, contract? [obtain copies]" )</f>
        <v/>
      </c>
      <c r="Y60" s="707"/>
      <c r="Z60" s="707"/>
      <c r="AA60" s="707"/>
      <c r="AB60" s="707"/>
      <c r="AC60" s="707"/>
      <c r="AD60" s="707"/>
      <c r="AE60" s="707"/>
      <c r="AF60" s="707"/>
      <c r="AG60" s="707"/>
      <c r="AH60" s="707"/>
      <c r="AI60" s="707"/>
      <c r="AJ60" s="707"/>
      <c r="AK60" s="707"/>
      <c r="AL60" s="707"/>
      <c r="AM60" s="707"/>
      <c r="AN60" s="707"/>
      <c r="AO60" s="707"/>
      <c r="AP60" s="707"/>
      <c r="AQ60" s="707"/>
      <c r="AR60" s="708"/>
    </row>
    <row r="61" spans="1:46" ht="4.5" customHeight="1" x14ac:dyDescent="0.3">
      <c r="A61" s="77"/>
      <c r="D61" s="221"/>
      <c r="X61" s="214"/>
      <c r="Y61" s="214"/>
      <c r="Z61" s="214"/>
      <c r="AA61" s="214"/>
      <c r="AB61" s="214"/>
      <c r="AC61" s="214"/>
      <c r="AD61" s="214"/>
      <c r="AE61" s="214"/>
      <c r="AF61" s="214"/>
      <c r="AG61" s="214"/>
      <c r="AH61" s="214"/>
      <c r="AI61" s="214"/>
      <c r="AJ61" s="214"/>
      <c r="AK61" s="214"/>
      <c r="AL61" s="214"/>
      <c r="AM61" s="214"/>
      <c r="AN61" s="214"/>
      <c r="AO61" s="214"/>
      <c r="AP61" s="214"/>
      <c r="AQ61" s="214"/>
      <c r="AR61" s="214"/>
    </row>
    <row r="62" spans="1:46" ht="37.5" customHeight="1" x14ac:dyDescent="0.3">
      <c r="A62" s="77"/>
      <c r="D62" s="221" t="s">
        <v>260</v>
      </c>
      <c r="P62" s="710" t="s">
        <v>678</v>
      </c>
      <c r="Q62" s="711"/>
      <c r="R62" s="711"/>
      <c r="S62" s="711"/>
      <c r="T62" s="711"/>
      <c r="U62" s="711"/>
      <c r="V62" s="712"/>
      <c r="X62" s="706" t="str">
        <f>IF(P62="select","",IF(P62="no","","details - type (lake, ocean, lagoon, river, etc.), number, activities (type and frequency); also note the presence, construction, and type of any dams"))</f>
        <v/>
      </c>
      <c r="Y62" s="707"/>
      <c r="Z62" s="707"/>
      <c r="AA62" s="707"/>
      <c r="AB62" s="707"/>
      <c r="AC62" s="707"/>
      <c r="AD62" s="707"/>
      <c r="AE62" s="707"/>
      <c r="AF62" s="707"/>
      <c r="AG62" s="707"/>
      <c r="AH62" s="707"/>
      <c r="AI62" s="707"/>
      <c r="AJ62" s="707"/>
      <c r="AK62" s="707"/>
      <c r="AL62" s="707"/>
      <c r="AM62" s="707"/>
      <c r="AN62" s="707"/>
      <c r="AO62" s="707"/>
      <c r="AP62" s="707"/>
      <c r="AQ62" s="707"/>
      <c r="AR62" s="708"/>
    </row>
    <row r="63" spans="1:46" ht="4.5" customHeight="1" x14ac:dyDescent="0.3">
      <c r="A63" s="77"/>
      <c r="D63" s="561"/>
      <c r="P63" s="559"/>
      <c r="Q63" s="559"/>
      <c r="R63" s="559"/>
      <c r="S63" s="559"/>
      <c r="T63" s="559"/>
      <c r="U63" s="559"/>
      <c r="V63" s="559"/>
      <c r="X63" s="562"/>
      <c r="Y63" s="562"/>
      <c r="Z63" s="562"/>
      <c r="AA63" s="562"/>
      <c r="AB63" s="562"/>
      <c r="AC63" s="562"/>
      <c r="AD63" s="562"/>
      <c r="AE63" s="562"/>
      <c r="AF63" s="562"/>
      <c r="AG63" s="562"/>
      <c r="AH63" s="562"/>
      <c r="AI63" s="562"/>
      <c r="AJ63" s="562"/>
      <c r="AK63" s="562"/>
      <c r="AL63" s="562"/>
      <c r="AM63" s="562"/>
      <c r="AN63" s="562"/>
      <c r="AO63" s="562"/>
      <c r="AP63" s="562"/>
      <c r="AQ63" s="562"/>
      <c r="AR63" s="562"/>
    </row>
    <row r="64" spans="1:46" ht="25.5" customHeight="1" x14ac:dyDescent="0.3">
      <c r="A64" s="77"/>
      <c r="D64" s="561" t="s">
        <v>1954</v>
      </c>
      <c r="P64" s="710" t="s">
        <v>585</v>
      </c>
      <c r="Q64" s="711"/>
      <c r="R64" s="711"/>
      <c r="S64" s="711"/>
      <c r="T64" s="711"/>
      <c r="U64" s="711"/>
      <c r="V64" s="712"/>
      <c r="X64" s="706" t="str">
        <f>IF(P64="select","",IF(P64="no","","details - type (concrete, earthfill, etc), purpose (water supply, erosion control, etc.),  frequency of inspection"))</f>
        <v/>
      </c>
      <c r="Y64" s="707"/>
      <c r="Z64" s="707"/>
      <c r="AA64" s="707"/>
      <c r="AB64" s="707"/>
      <c r="AC64" s="707"/>
      <c r="AD64" s="707"/>
      <c r="AE64" s="707"/>
      <c r="AF64" s="707"/>
      <c r="AG64" s="707"/>
      <c r="AH64" s="707"/>
      <c r="AI64" s="707"/>
      <c r="AJ64" s="707"/>
      <c r="AK64" s="707"/>
      <c r="AL64" s="707"/>
      <c r="AM64" s="707"/>
      <c r="AN64" s="707"/>
      <c r="AO64" s="707"/>
      <c r="AP64" s="707"/>
      <c r="AQ64" s="707"/>
      <c r="AR64" s="708"/>
    </row>
    <row r="65" spans="1:45" ht="4.5" customHeight="1" x14ac:dyDescent="0.3">
      <c r="A65" s="77"/>
      <c r="D65" s="221"/>
      <c r="P65" s="214"/>
      <c r="Q65" s="214"/>
      <c r="R65" s="214"/>
      <c r="S65" s="214"/>
      <c r="T65" s="214"/>
      <c r="U65" s="214"/>
      <c r="V65" s="214"/>
      <c r="X65" s="214"/>
      <c r="Y65" s="214"/>
      <c r="Z65" s="214"/>
      <c r="AA65" s="214"/>
      <c r="AB65" s="214"/>
      <c r="AC65" s="214"/>
      <c r="AD65" s="214"/>
      <c r="AE65" s="214"/>
      <c r="AF65" s="214"/>
      <c r="AG65" s="214"/>
      <c r="AH65" s="214"/>
      <c r="AI65" s="214"/>
      <c r="AJ65" s="214"/>
      <c r="AK65" s="214"/>
      <c r="AL65" s="214"/>
      <c r="AM65" s="214"/>
      <c r="AN65" s="214"/>
      <c r="AO65" s="214"/>
      <c r="AP65" s="214"/>
      <c r="AQ65" s="214"/>
      <c r="AR65" s="214"/>
    </row>
    <row r="66" spans="1:45" ht="12.75" customHeight="1" x14ac:dyDescent="0.3">
      <c r="A66" s="77"/>
      <c r="D66" s="221" t="s">
        <v>597</v>
      </c>
      <c r="P66" s="710" t="s">
        <v>678</v>
      </c>
      <c r="Q66" s="711"/>
      <c r="R66" s="711"/>
      <c r="S66" s="711"/>
      <c r="T66" s="711"/>
      <c r="U66" s="711"/>
      <c r="V66" s="712"/>
      <c r="X66" s="706" t="str">
        <f>IF(P66="select","",IF(P66="no","","details"))</f>
        <v/>
      </c>
      <c r="Y66" s="707"/>
      <c r="Z66" s="707"/>
      <c r="AA66" s="707"/>
      <c r="AB66" s="707"/>
      <c r="AC66" s="707"/>
      <c r="AD66" s="707"/>
      <c r="AE66" s="707"/>
      <c r="AF66" s="707"/>
      <c r="AG66" s="707"/>
      <c r="AH66" s="707"/>
      <c r="AI66" s="707"/>
      <c r="AJ66" s="707"/>
      <c r="AK66" s="707"/>
      <c r="AL66" s="707"/>
      <c r="AM66" s="707"/>
      <c r="AN66" s="707"/>
      <c r="AO66" s="707"/>
      <c r="AP66" s="707"/>
      <c r="AQ66" s="707"/>
      <c r="AR66" s="708"/>
    </row>
    <row r="67" spans="1:45" x14ac:dyDescent="0.3">
      <c r="A67" s="77"/>
      <c r="B67" s="54"/>
    </row>
    <row r="68" spans="1:45" ht="25.3" x14ac:dyDescent="0.3">
      <c r="A68" s="721" t="s">
        <v>307</v>
      </c>
      <c r="B68" s="689"/>
      <c r="C68" s="689"/>
      <c r="D68" s="689"/>
      <c r="E68" s="689"/>
      <c r="F68" s="689"/>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c r="AI68" s="689"/>
      <c r="AJ68" s="689"/>
      <c r="AK68" s="689"/>
      <c r="AL68" s="689"/>
      <c r="AM68" s="689"/>
      <c r="AN68" s="689"/>
      <c r="AO68" s="689"/>
      <c r="AP68" s="689"/>
      <c r="AQ68" s="689"/>
      <c r="AR68" s="689"/>
      <c r="AS68" s="20"/>
    </row>
    <row r="69" spans="1:45" x14ac:dyDescent="0.3">
      <c r="C69" s="4"/>
      <c r="D69" s="53"/>
      <c r="E69" s="4"/>
      <c r="F69" s="5"/>
      <c r="G69" s="4"/>
      <c r="H69" s="4"/>
      <c r="I69" s="4"/>
      <c r="J69" s="4"/>
      <c r="K69" s="4"/>
      <c r="L69" s="4"/>
      <c r="M69" s="4"/>
      <c r="N69" s="4"/>
      <c r="O69" s="4"/>
      <c r="P69" s="4"/>
      <c r="Q69" s="4"/>
      <c r="Y69" s="4"/>
      <c r="Z69" s="4"/>
      <c r="AA69" s="4"/>
      <c r="AB69" s="4"/>
      <c r="AC69" s="691" t="s">
        <v>693</v>
      </c>
      <c r="AD69" s="692"/>
      <c r="AE69" s="692"/>
      <c r="AF69" s="692"/>
      <c r="AG69" s="692"/>
      <c r="AH69" s="716"/>
      <c r="AI69"/>
      <c r="AJ69" s="691" t="s">
        <v>695</v>
      </c>
      <c r="AK69" s="692"/>
      <c r="AL69" s="692"/>
      <c r="AM69" s="692"/>
      <c r="AN69" s="692"/>
      <c r="AO69" s="692"/>
      <c r="AP69" s="692"/>
      <c r="AQ69" s="692"/>
      <c r="AR69" s="693"/>
      <c r="AS69" s="20"/>
    </row>
    <row r="70" spans="1:45" x14ac:dyDescent="0.3">
      <c r="E70" s="11"/>
      <c r="AS70" s="20"/>
    </row>
    <row r="71" spans="1:45" ht="14.15" x14ac:dyDescent="0.35">
      <c r="A71" s="232" t="s">
        <v>854</v>
      </c>
      <c r="B71" s="69"/>
      <c r="D71" s="30" t="s">
        <v>69</v>
      </c>
      <c r="E71" s="11"/>
      <c r="T71" s="66"/>
      <c r="AS71" s="20"/>
    </row>
    <row r="72" spans="1:45" ht="4.5" customHeight="1" x14ac:dyDescent="0.3">
      <c r="A72" s="13"/>
      <c r="B72" s="69"/>
      <c r="E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20"/>
    </row>
    <row r="73" spans="1:45" ht="37.5" customHeight="1" x14ac:dyDescent="0.3">
      <c r="A73" s="13" t="s">
        <v>162</v>
      </c>
      <c r="B73" s="69"/>
      <c r="D73" s="31"/>
      <c r="E73" s="32"/>
      <c r="F73" s="33"/>
      <c r="G73" s="31"/>
      <c r="H73" s="31"/>
      <c r="I73" s="31"/>
      <c r="J73" s="31"/>
      <c r="K73" s="11"/>
      <c r="L73" s="717" t="s">
        <v>1900</v>
      </c>
      <c r="M73" s="717"/>
      <c r="N73" s="717"/>
      <c r="O73" s="717"/>
      <c r="P73" s="717"/>
      <c r="Q73" s="717"/>
      <c r="R73" s="717"/>
      <c r="S73" s="717"/>
      <c r="T73" s="717"/>
      <c r="U73" s="717"/>
      <c r="V73" s="717"/>
      <c r="W73" s="717"/>
      <c r="X73" s="717"/>
      <c r="Y73" s="717"/>
      <c r="Z73" s="717"/>
      <c r="AA73" s="717"/>
      <c r="AB73" s="717"/>
      <c r="AC73" s="717"/>
      <c r="AD73" s="717"/>
      <c r="AE73" s="717"/>
      <c r="AF73" s="717"/>
      <c r="AG73" s="717"/>
      <c r="AH73" s="717"/>
      <c r="AI73" s="717"/>
      <c r="AJ73" s="717"/>
      <c r="AK73" s="717"/>
      <c r="AL73" s="717"/>
      <c r="AM73" s="717"/>
      <c r="AN73" s="717"/>
      <c r="AO73" s="717"/>
      <c r="AP73" s="717"/>
      <c r="AQ73" s="717"/>
      <c r="AR73" s="717"/>
      <c r="AS73" s="20"/>
    </row>
    <row r="74" spans="1:45" ht="4.5" customHeight="1" x14ac:dyDescent="0.3">
      <c r="A74" s="13"/>
      <c r="B74" s="69"/>
      <c r="D74" s="31"/>
      <c r="E74" s="34"/>
      <c r="F74" s="31"/>
      <c r="G74" s="31"/>
      <c r="H74" s="31"/>
      <c r="I74" s="31"/>
      <c r="J74" s="31"/>
      <c r="K74" s="11"/>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0"/>
    </row>
    <row r="75" spans="1:45" ht="26.25" customHeight="1" x14ac:dyDescent="0.3">
      <c r="A75" s="13" t="s">
        <v>625</v>
      </c>
      <c r="B75" s="69"/>
      <c r="D75" s="31"/>
      <c r="E75" s="32"/>
      <c r="F75" s="33"/>
      <c r="G75" s="31"/>
      <c r="H75" s="31"/>
      <c r="I75" s="31"/>
      <c r="J75" s="31"/>
      <c r="K75" s="11"/>
      <c r="L75" s="717" t="s">
        <v>1808</v>
      </c>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20"/>
    </row>
    <row r="76" spans="1:45" ht="4.5" customHeight="1" x14ac:dyDescent="0.3">
      <c r="A76" s="13"/>
      <c r="B76" s="69"/>
      <c r="D76" s="31"/>
      <c r="E76" s="32"/>
      <c r="F76" s="33"/>
      <c r="G76" s="31"/>
      <c r="H76" s="31"/>
      <c r="I76" s="31"/>
      <c r="J76" s="31"/>
      <c r="K76" s="11"/>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2"/>
      <c r="AS76" s="20"/>
    </row>
    <row r="77" spans="1:45" ht="39" customHeight="1" x14ac:dyDescent="0.3">
      <c r="A77" s="13" t="s">
        <v>626</v>
      </c>
      <c r="B77" s="69"/>
      <c r="D77" s="31"/>
      <c r="E77" s="34"/>
      <c r="F77" s="31"/>
      <c r="G77" s="31"/>
      <c r="H77" s="31"/>
      <c r="I77" s="31"/>
      <c r="J77" s="31"/>
      <c r="K77" s="11"/>
      <c r="L77" s="717" t="s">
        <v>1092</v>
      </c>
      <c r="M77" s="717"/>
      <c r="N77" s="717"/>
      <c r="O77" s="717"/>
      <c r="P77" s="717"/>
      <c r="Q77" s="717"/>
      <c r="R77" s="717"/>
      <c r="S77" s="717"/>
      <c r="T77" s="717"/>
      <c r="U77" s="717"/>
      <c r="V77" s="717"/>
      <c r="W77" s="717"/>
      <c r="X77" s="717"/>
      <c r="Y77" s="717"/>
      <c r="Z77" s="717"/>
      <c r="AA77" s="717"/>
      <c r="AB77" s="717"/>
      <c r="AC77" s="717"/>
      <c r="AD77" s="717"/>
      <c r="AE77" s="717"/>
      <c r="AF77" s="717"/>
      <c r="AG77" s="717"/>
      <c r="AH77" s="717"/>
      <c r="AI77" s="717"/>
      <c r="AJ77" s="717"/>
      <c r="AK77" s="717"/>
      <c r="AL77" s="717"/>
      <c r="AM77" s="717"/>
      <c r="AN77" s="717"/>
      <c r="AO77" s="717"/>
      <c r="AP77" s="717"/>
      <c r="AQ77" s="717"/>
      <c r="AR77" s="717"/>
      <c r="AS77" s="20"/>
    </row>
    <row r="78" spans="1:45" ht="4.5" customHeight="1" x14ac:dyDescent="0.3">
      <c r="A78" s="13"/>
      <c r="B78" s="69"/>
      <c r="D78" s="31"/>
      <c r="E78" s="34"/>
      <c r="F78" s="31"/>
      <c r="G78" s="31"/>
      <c r="H78" s="31"/>
      <c r="I78" s="31"/>
      <c r="J78" s="31"/>
      <c r="K78" s="11"/>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0"/>
    </row>
    <row r="79" spans="1:45" ht="15" customHeight="1" x14ac:dyDescent="0.3">
      <c r="A79" s="13" t="s">
        <v>627</v>
      </c>
      <c r="B79" s="69"/>
      <c r="D79" s="31"/>
      <c r="E79" s="32"/>
      <c r="F79" s="33"/>
      <c r="G79" s="31"/>
      <c r="H79" s="31"/>
      <c r="I79" s="31"/>
      <c r="J79" s="31"/>
      <c r="K79" s="11"/>
      <c r="L79" s="717" t="s">
        <v>1240</v>
      </c>
      <c r="M79" s="717"/>
      <c r="N79" s="717"/>
      <c r="O79" s="717"/>
      <c r="P79" s="717"/>
      <c r="Q79" s="717"/>
      <c r="R79" s="717"/>
      <c r="S79" s="717"/>
      <c r="T79" s="717"/>
      <c r="U79" s="717"/>
      <c r="V79" s="717"/>
      <c r="W79" s="717"/>
      <c r="X79" s="717"/>
      <c r="Y79" s="717"/>
      <c r="Z79" s="717"/>
      <c r="AA79" s="717"/>
      <c r="AB79" s="717"/>
      <c r="AC79" s="717"/>
      <c r="AD79" s="717"/>
      <c r="AE79" s="717"/>
      <c r="AF79" s="717"/>
      <c r="AG79" s="717"/>
      <c r="AH79" s="717"/>
      <c r="AI79" s="717"/>
      <c r="AJ79" s="717"/>
      <c r="AK79" s="717"/>
      <c r="AL79" s="717"/>
      <c r="AM79" s="717"/>
      <c r="AN79" s="717"/>
      <c r="AO79" s="717"/>
      <c r="AP79" s="717"/>
      <c r="AQ79" s="717"/>
      <c r="AR79" s="717"/>
      <c r="AS79" s="20"/>
    </row>
    <row r="80" spans="1:45" ht="4.5" customHeight="1" x14ac:dyDescent="0.3">
      <c r="A80" s="13"/>
      <c r="B80" s="69"/>
      <c r="E80" s="35"/>
      <c r="K80" s="11"/>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0"/>
    </row>
    <row r="81" spans="1:45" ht="26.25" customHeight="1" x14ac:dyDescent="0.3">
      <c r="A81" s="13" t="s">
        <v>628</v>
      </c>
      <c r="B81" s="69"/>
      <c r="E81" s="11"/>
      <c r="F81" s="3"/>
      <c r="K81" s="11"/>
      <c r="L81" s="717" t="s">
        <v>1807</v>
      </c>
      <c r="M81" s="717"/>
      <c r="N81" s="717"/>
      <c r="O81" s="717"/>
      <c r="P81" s="717"/>
      <c r="Q81" s="717"/>
      <c r="R81" s="717"/>
      <c r="S81" s="717"/>
      <c r="T81" s="717"/>
      <c r="U81" s="717"/>
      <c r="V81" s="717"/>
      <c r="W81" s="717"/>
      <c r="X81" s="717"/>
      <c r="Y81" s="717"/>
      <c r="Z81" s="717"/>
      <c r="AA81" s="717"/>
      <c r="AB81" s="717"/>
      <c r="AC81" s="717"/>
      <c r="AD81" s="717"/>
      <c r="AE81" s="717"/>
      <c r="AF81" s="717"/>
      <c r="AG81" s="717"/>
      <c r="AH81" s="717"/>
      <c r="AI81" s="717"/>
      <c r="AJ81" s="717"/>
      <c r="AK81" s="717"/>
      <c r="AL81" s="717"/>
      <c r="AM81" s="717"/>
      <c r="AN81" s="717"/>
      <c r="AO81" s="717"/>
      <c r="AP81" s="717"/>
      <c r="AQ81" s="717"/>
      <c r="AR81" s="717"/>
      <c r="AS81" s="20"/>
    </row>
    <row r="82" spans="1:45" ht="4.5" customHeight="1" x14ac:dyDescent="0.3">
      <c r="A82" s="13"/>
      <c r="B82" s="69"/>
      <c r="E82" s="11"/>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20"/>
    </row>
    <row r="83" spans="1:45" ht="12.75" customHeight="1" x14ac:dyDescent="0.3">
      <c r="A83" s="13"/>
      <c r="B83" s="69"/>
      <c r="E83" s="11"/>
      <c r="F83" s="36" t="s">
        <v>700</v>
      </c>
      <c r="J83" s="706" t="str">
        <f>IF(calculations!M4,"describe corrective action proposed to correct any Red Flag or Yellow Flag ranking",IF(calculations!N4,"describe corrective action proposed to correct any Red Flag or Yellow Flag ranking","we changed the criteria"))</f>
        <v>we changed the criteria</v>
      </c>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8"/>
      <c r="AS83" s="20"/>
    </row>
    <row r="84" spans="1:45" ht="4.5" customHeight="1" x14ac:dyDescent="0.3">
      <c r="A84" s="13"/>
      <c r="B84" s="69"/>
      <c r="E84" s="11"/>
      <c r="F84" s="36"/>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0"/>
    </row>
    <row r="85" spans="1:45" ht="38.25" customHeight="1" x14ac:dyDescent="0.3">
      <c r="A85" s="13"/>
      <c r="B85" s="69"/>
      <c r="E85" s="11"/>
      <c r="F85" s="55" t="str">
        <f>IF(calculations!M4,"OFE",IF(calculations!N4,"REC",IF(J85&gt;"","REC","")))</f>
        <v/>
      </c>
      <c r="G85" s="38"/>
      <c r="J85" s="724" t="str">
        <f>IF(calculations!M4,CONCATENATE("OFE:  ",Rec!E3),IF(calculations!N4,Rec!E4,""))</f>
        <v/>
      </c>
      <c r="K85" s="725"/>
      <c r="L85" s="725"/>
      <c r="M85" s="725"/>
      <c r="N85" s="725"/>
      <c r="O85" s="725"/>
      <c r="P85" s="725"/>
      <c r="Q85" s="725"/>
      <c r="R85" s="725"/>
      <c r="S85" s="725"/>
      <c r="T85" s="725"/>
      <c r="U85" s="725"/>
      <c r="V85" s="725"/>
      <c r="W85" s="725"/>
      <c r="X85" s="725"/>
      <c r="Y85" s="725"/>
      <c r="Z85" s="725"/>
      <c r="AA85" s="725"/>
      <c r="AB85" s="725"/>
      <c r="AC85" s="725"/>
      <c r="AD85" s="725"/>
      <c r="AE85" s="725"/>
      <c r="AF85" s="725"/>
      <c r="AG85" s="725"/>
      <c r="AH85" s="725"/>
      <c r="AI85" s="725"/>
      <c r="AJ85" s="725"/>
      <c r="AK85" s="725"/>
      <c r="AL85" s="725"/>
      <c r="AM85" s="725"/>
      <c r="AN85" s="725"/>
      <c r="AO85" s="725"/>
      <c r="AP85" s="725"/>
      <c r="AQ85" s="725"/>
      <c r="AR85" s="726"/>
      <c r="AS85" s="20"/>
    </row>
    <row r="86" spans="1:45" x14ac:dyDescent="0.3">
      <c r="A86" s="13"/>
      <c r="B86" s="69"/>
      <c r="E86" s="11"/>
      <c r="F86" s="76"/>
      <c r="G86" s="38"/>
      <c r="AS86" s="20"/>
    </row>
    <row r="87" spans="1:45" ht="14.15" x14ac:dyDescent="0.35">
      <c r="A87" s="232" t="s">
        <v>855</v>
      </c>
      <c r="B87" s="69"/>
      <c r="D87" s="30" t="s">
        <v>705</v>
      </c>
      <c r="E87" s="11"/>
      <c r="AS87" s="20"/>
    </row>
    <row r="88" spans="1:45" ht="4.5" customHeight="1" x14ac:dyDescent="0.3">
      <c r="A88" s="13"/>
      <c r="B88" s="69"/>
      <c r="E88" s="11"/>
      <c r="K88" s="11"/>
      <c r="L88" s="11"/>
      <c r="M88" s="11"/>
      <c r="N88" s="11"/>
      <c r="O88" s="11"/>
      <c r="P88" s="11"/>
      <c r="Q88" s="11"/>
      <c r="R88" s="11"/>
      <c r="S88" s="11"/>
      <c r="T88" s="11"/>
      <c r="U88" s="44"/>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20"/>
    </row>
    <row r="89" spans="1:45" ht="30" customHeight="1" x14ac:dyDescent="0.3">
      <c r="A89" s="13" t="s">
        <v>631</v>
      </c>
      <c r="B89" s="69"/>
      <c r="D89" s="31"/>
      <c r="E89" s="32"/>
      <c r="F89" s="33"/>
      <c r="G89" s="31"/>
      <c r="H89" s="31"/>
      <c r="I89" s="31"/>
      <c r="J89" s="31"/>
      <c r="K89" s="11"/>
      <c r="L89" s="717" t="s">
        <v>1806</v>
      </c>
      <c r="M89" s="717"/>
      <c r="N89" s="717"/>
      <c r="O89" s="717"/>
      <c r="P89" s="717"/>
      <c r="Q89" s="717"/>
      <c r="R89" s="717"/>
      <c r="S89" s="717"/>
      <c r="T89" s="717"/>
      <c r="U89" s="717"/>
      <c r="V89" s="717"/>
      <c r="W89" s="717"/>
      <c r="X89" s="717"/>
      <c r="Y89" s="717"/>
      <c r="Z89" s="717"/>
      <c r="AA89" s="717"/>
      <c r="AB89" s="717"/>
      <c r="AC89" s="717"/>
      <c r="AD89" s="717"/>
      <c r="AE89" s="717"/>
      <c r="AF89" s="717"/>
      <c r="AG89" s="717"/>
      <c r="AH89" s="717"/>
      <c r="AI89" s="717"/>
      <c r="AJ89" s="717"/>
      <c r="AK89" s="717"/>
      <c r="AL89" s="717"/>
      <c r="AM89" s="717"/>
      <c r="AN89" s="717"/>
      <c r="AO89" s="717"/>
      <c r="AP89" s="717"/>
      <c r="AQ89" s="717"/>
      <c r="AR89" s="717"/>
      <c r="AS89" s="20"/>
    </row>
    <row r="90" spans="1:45" ht="4.5" customHeight="1" x14ac:dyDescent="0.3">
      <c r="A90" s="13"/>
      <c r="B90" s="69"/>
      <c r="D90" s="31"/>
      <c r="E90" s="34"/>
      <c r="F90" s="31"/>
      <c r="G90" s="31"/>
      <c r="H90" s="31"/>
      <c r="I90" s="31"/>
      <c r="J90" s="3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20"/>
    </row>
    <row r="91" spans="1:45" ht="30" customHeight="1" x14ac:dyDescent="0.3">
      <c r="A91" s="13" t="s">
        <v>632</v>
      </c>
      <c r="B91" s="69"/>
      <c r="D91" s="31"/>
      <c r="E91" s="32"/>
      <c r="F91" s="33"/>
      <c r="G91" s="31"/>
      <c r="H91" s="31"/>
      <c r="I91" s="31"/>
      <c r="J91" s="31"/>
      <c r="K91" s="11"/>
      <c r="L91" s="717" t="s">
        <v>1805</v>
      </c>
      <c r="M91" s="717"/>
      <c r="N91" s="717"/>
      <c r="O91" s="717"/>
      <c r="P91" s="717"/>
      <c r="Q91" s="717"/>
      <c r="R91" s="717"/>
      <c r="S91" s="717"/>
      <c r="T91" s="717"/>
      <c r="U91" s="717"/>
      <c r="V91" s="717"/>
      <c r="W91" s="717"/>
      <c r="X91" s="717"/>
      <c r="Y91" s="717"/>
      <c r="Z91" s="717"/>
      <c r="AA91" s="717"/>
      <c r="AB91" s="717"/>
      <c r="AC91" s="717"/>
      <c r="AD91" s="717"/>
      <c r="AE91" s="717"/>
      <c r="AF91" s="717"/>
      <c r="AG91" s="717"/>
      <c r="AH91" s="717"/>
      <c r="AI91" s="717"/>
      <c r="AJ91" s="717"/>
      <c r="AK91" s="717"/>
      <c r="AL91" s="717"/>
      <c r="AM91" s="717"/>
      <c r="AN91" s="717"/>
      <c r="AO91" s="717"/>
      <c r="AP91" s="717"/>
      <c r="AQ91" s="717"/>
      <c r="AR91" s="717"/>
      <c r="AS91" s="20"/>
    </row>
    <row r="92" spans="1:45" ht="4.5" customHeight="1" x14ac:dyDescent="0.3">
      <c r="A92" s="13"/>
      <c r="B92" s="69"/>
      <c r="D92" s="31"/>
      <c r="E92" s="32"/>
      <c r="F92" s="33"/>
      <c r="G92" s="31"/>
      <c r="H92" s="31"/>
      <c r="I92" s="31"/>
      <c r="J92" s="3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20"/>
    </row>
    <row r="93" spans="1:45" x14ac:dyDescent="0.3">
      <c r="A93" s="13" t="s">
        <v>633</v>
      </c>
      <c r="B93" s="69"/>
      <c r="D93" s="31"/>
      <c r="E93" s="34"/>
      <c r="F93" s="31"/>
      <c r="G93" s="31"/>
      <c r="H93" s="31"/>
      <c r="I93" s="31"/>
      <c r="J93" s="31"/>
      <c r="K93" s="11"/>
      <c r="L93" s="727" t="s">
        <v>1183</v>
      </c>
      <c r="M93" s="727"/>
      <c r="N93" s="727"/>
      <c r="O93" s="727"/>
      <c r="P93" s="727"/>
      <c r="Q93" s="727"/>
      <c r="R93" s="727"/>
      <c r="S93" s="727"/>
      <c r="T93" s="727"/>
      <c r="U93" s="727"/>
      <c r="V93" s="727"/>
      <c r="W93" s="727"/>
      <c r="X93" s="727"/>
      <c r="Y93" s="727"/>
      <c r="Z93" s="727"/>
      <c r="AA93" s="727"/>
      <c r="AB93" s="727"/>
      <c r="AC93" s="727"/>
      <c r="AD93" s="727"/>
      <c r="AE93" s="727"/>
      <c r="AF93" s="727"/>
      <c r="AG93" s="727"/>
      <c r="AH93" s="727"/>
      <c r="AI93" s="727"/>
      <c r="AJ93" s="727"/>
      <c r="AK93" s="727"/>
      <c r="AL93" s="727"/>
      <c r="AM93" s="727"/>
      <c r="AN93" s="727"/>
      <c r="AO93" s="727"/>
      <c r="AP93" s="727"/>
      <c r="AQ93" s="727"/>
      <c r="AR93" s="727"/>
      <c r="AS93" s="20"/>
    </row>
    <row r="94" spans="1:45" ht="4.5" customHeight="1" x14ac:dyDescent="0.3">
      <c r="A94" s="13"/>
      <c r="B94" s="69"/>
      <c r="D94" s="31"/>
      <c r="E94" s="34"/>
      <c r="F94" s="31"/>
      <c r="G94" s="31"/>
      <c r="H94" s="31"/>
      <c r="I94" s="31"/>
      <c r="J94" s="31"/>
      <c r="K94" s="11"/>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0"/>
    </row>
    <row r="95" spans="1:45" x14ac:dyDescent="0.3">
      <c r="A95" s="13" t="s">
        <v>634</v>
      </c>
      <c r="B95" s="69"/>
      <c r="D95" s="31"/>
      <c r="E95" s="32"/>
      <c r="F95" s="33"/>
      <c r="G95" s="31"/>
      <c r="H95" s="31"/>
      <c r="I95" s="31"/>
      <c r="J95" s="31"/>
      <c r="K95" s="11"/>
      <c r="L95" s="727" t="s">
        <v>1804</v>
      </c>
      <c r="M95" s="727"/>
      <c r="N95" s="727"/>
      <c r="O95" s="727"/>
      <c r="P95" s="727"/>
      <c r="Q95" s="727"/>
      <c r="R95" s="727"/>
      <c r="S95" s="727"/>
      <c r="T95" s="727"/>
      <c r="U95" s="727"/>
      <c r="V95" s="727"/>
      <c r="W95" s="727"/>
      <c r="X95" s="727"/>
      <c r="Y95" s="727"/>
      <c r="Z95" s="727"/>
      <c r="AA95" s="727"/>
      <c r="AB95" s="727"/>
      <c r="AC95" s="727"/>
      <c r="AD95" s="727"/>
      <c r="AE95" s="727"/>
      <c r="AF95" s="727"/>
      <c r="AG95" s="727"/>
      <c r="AH95" s="727"/>
      <c r="AI95" s="727"/>
      <c r="AJ95" s="727"/>
      <c r="AK95" s="727"/>
      <c r="AL95" s="727"/>
      <c r="AM95" s="727"/>
      <c r="AN95" s="727"/>
      <c r="AO95" s="727"/>
      <c r="AP95" s="727"/>
      <c r="AQ95" s="727"/>
      <c r="AR95" s="727"/>
      <c r="AS95" s="20"/>
    </row>
    <row r="96" spans="1:45" ht="4.5" customHeight="1" x14ac:dyDescent="0.3">
      <c r="A96" s="13"/>
      <c r="B96" s="69"/>
      <c r="E96" s="35"/>
      <c r="K96" s="11"/>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0"/>
    </row>
    <row r="97" spans="1:45" x14ac:dyDescent="0.3">
      <c r="A97" s="13" t="s">
        <v>635</v>
      </c>
      <c r="B97" s="69"/>
      <c r="E97" s="11"/>
      <c r="F97" s="3"/>
      <c r="K97" s="11"/>
      <c r="L97" s="727" t="s">
        <v>1803</v>
      </c>
      <c r="M97" s="727"/>
      <c r="N97" s="727"/>
      <c r="O97" s="727"/>
      <c r="P97" s="727"/>
      <c r="Q97" s="727"/>
      <c r="R97" s="727"/>
      <c r="S97" s="727"/>
      <c r="T97" s="727"/>
      <c r="U97" s="727"/>
      <c r="V97" s="727"/>
      <c r="W97" s="727"/>
      <c r="X97" s="727"/>
      <c r="Y97" s="727"/>
      <c r="Z97" s="727"/>
      <c r="AA97" s="727"/>
      <c r="AB97" s="727"/>
      <c r="AC97" s="727"/>
      <c r="AD97" s="727"/>
      <c r="AE97" s="727"/>
      <c r="AF97" s="727"/>
      <c r="AG97" s="727"/>
      <c r="AH97" s="727"/>
      <c r="AI97" s="727"/>
      <c r="AJ97" s="727"/>
      <c r="AK97" s="727"/>
      <c r="AL97" s="727"/>
      <c r="AM97" s="727"/>
      <c r="AN97" s="727"/>
      <c r="AO97" s="727"/>
      <c r="AP97" s="727"/>
      <c r="AQ97" s="727"/>
      <c r="AR97" s="727"/>
      <c r="AS97" s="20"/>
    </row>
    <row r="98" spans="1:45" ht="4.5" customHeight="1" x14ac:dyDescent="0.3">
      <c r="A98" s="13"/>
      <c r="B98" s="69"/>
      <c r="E98" s="11"/>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20"/>
    </row>
    <row r="99" spans="1:45" x14ac:dyDescent="0.3">
      <c r="A99" s="13"/>
      <c r="B99" s="69"/>
      <c r="E99" s="11"/>
      <c r="F99" s="36" t="s">
        <v>700</v>
      </c>
      <c r="J99" s="706" t="str">
        <f>IF(calculations!M5,"describe corrective action proposed to correct any Red Flag or Yellow Flag ranking",IF(calculations!N5,"describe corrective action proposed to correct any Red Flag or Yellow Flag ranking","we changed the criteria"))</f>
        <v>we changed the criteria</v>
      </c>
      <c r="K99" s="707"/>
      <c r="L99" s="707"/>
      <c r="M99" s="707"/>
      <c r="N99" s="707"/>
      <c r="O99" s="707"/>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8"/>
      <c r="AS99" s="20"/>
    </row>
    <row r="100" spans="1:45" ht="4.5" customHeight="1" x14ac:dyDescent="0.3">
      <c r="A100" s="13"/>
      <c r="B100" s="69"/>
      <c r="E100" s="1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0"/>
    </row>
    <row r="101" spans="1:45" ht="27" customHeight="1" x14ac:dyDescent="0.3">
      <c r="A101" s="13"/>
      <c r="B101" s="69"/>
      <c r="E101" s="11"/>
      <c r="F101" s="55" t="str">
        <f>IF(calculations!M5,"OFE",IF(calculations!N5,"REC",IF(J101&gt;"","REC","")))</f>
        <v/>
      </c>
      <c r="G101" s="38"/>
      <c r="J101" s="724" t="str">
        <f>IF(calculations!M5,CONCATENATE("OFE:  ",Rec!E5),IF(calculations!N5=TRUE,Rec!E6,""))</f>
        <v/>
      </c>
      <c r="K101" s="725"/>
      <c r="L101" s="725"/>
      <c r="M101" s="725"/>
      <c r="N101" s="725"/>
      <c r="O101" s="725"/>
      <c r="P101" s="725"/>
      <c r="Q101" s="725"/>
      <c r="R101" s="725"/>
      <c r="S101" s="725"/>
      <c r="T101" s="725"/>
      <c r="U101" s="725"/>
      <c r="V101" s="725"/>
      <c r="W101" s="725"/>
      <c r="X101" s="725"/>
      <c r="Y101" s="725"/>
      <c r="Z101" s="725"/>
      <c r="AA101" s="725"/>
      <c r="AB101" s="725"/>
      <c r="AC101" s="725"/>
      <c r="AD101" s="725"/>
      <c r="AE101" s="725"/>
      <c r="AF101" s="725"/>
      <c r="AG101" s="725"/>
      <c r="AH101" s="725"/>
      <c r="AI101" s="725"/>
      <c r="AJ101" s="725"/>
      <c r="AK101" s="725"/>
      <c r="AL101" s="725"/>
      <c r="AM101" s="725"/>
      <c r="AN101" s="725"/>
      <c r="AO101" s="725"/>
      <c r="AP101" s="725"/>
      <c r="AQ101" s="725"/>
      <c r="AR101" s="726"/>
      <c r="AS101" s="20"/>
    </row>
    <row r="102" spans="1:45" ht="12.75" customHeight="1" x14ac:dyDescent="0.3">
      <c r="A102" s="13"/>
      <c r="B102" s="69"/>
      <c r="E102" s="11"/>
      <c r="F102" s="37"/>
      <c r="AS102" s="20"/>
    </row>
    <row r="103" spans="1:45" ht="14.15" x14ac:dyDescent="0.35">
      <c r="A103" s="232" t="s">
        <v>856</v>
      </c>
      <c r="B103" s="69"/>
      <c r="D103" s="30" t="s">
        <v>738</v>
      </c>
      <c r="E103" s="11"/>
      <c r="AS103" s="20"/>
    </row>
    <row r="104" spans="1:45" ht="4.5" customHeight="1" x14ac:dyDescent="0.3">
      <c r="A104" s="13"/>
      <c r="B104" s="69"/>
      <c r="E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20"/>
    </row>
    <row r="105" spans="1:45" ht="38.25" customHeight="1" x14ac:dyDescent="0.3">
      <c r="A105" s="13" t="s">
        <v>639</v>
      </c>
      <c r="B105" s="69"/>
      <c r="D105" s="31"/>
      <c r="E105" s="32"/>
      <c r="F105" s="33"/>
      <c r="G105" s="31"/>
      <c r="H105" s="31"/>
      <c r="I105" s="31"/>
      <c r="J105" s="31"/>
      <c r="K105" s="11"/>
      <c r="L105" s="717" t="s">
        <v>1901</v>
      </c>
      <c r="M105" s="717"/>
      <c r="N105" s="717"/>
      <c r="O105" s="717"/>
      <c r="P105" s="717"/>
      <c r="Q105" s="717"/>
      <c r="R105" s="717"/>
      <c r="S105" s="717"/>
      <c r="T105" s="717"/>
      <c r="U105" s="717"/>
      <c r="V105" s="717"/>
      <c r="W105" s="717"/>
      <c r="X105" s="717"/>
      <c r="Y105" s="717"/>
      <c r="Z105" s="717"/>
      <c r="AA105" s="717"/>
      <c r="AB105" s="717"/>
      <c r="AC105" s="717"/>
      <c r="AD105" s="717"/>
      <c r="AE105" s="717"/>
      <c r="AF105" s="717"/>
      <c r="AG105" s="717"/>
      <c r="AH105" s="717"/>
      <c r="AI105" s="717"/>
      <c r="AJ105" s="717"/>
      <c r="AK105" s="717"/>
      <c r="AL105" s="717"/>
      <c r="AM105" s="717"/>
      <c r="AN105" s="717"/>
      <c r="AO105" s="717"/>
      <c r="AP105" s="717"/>
      <c r="AQ105" s="717"/>
      <c r="AR105" s="717"/>
      <c r="AS105" s="20"/>
    </row>
    <row r="106" spans="1:45" ht="12.75" hidden="1" customHeight="1" x14ac:dyDescent="0.3">
      <c r="A106" s="13"/>
      <c r="B106" s="69"/>
      <c r="D106" s="31"/>
      <c r="E106" s="34"/>
      <c r="F106" s="31"/>
      <c r="G106" s="31"/>
      <c r="H106" s="31"/>
      <c r="I106" s="31"/>
      <c r="J106" s="31"/>
      <c r="K106" s="11"/>
      <c r="L106" s="717"/>
      <c r="M106" s="717"/>
      <c r="N106" s="717"/>
      <c r="O106" s="717"/>
      <c r="P106" s="717"/>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7"/>
      <c r="AQ106" s="717"/>
      <c r="AR106" s="717"/>
      <c r="AS106" s="20"/>
    </row>
    <row r="107" spans="1:45" ht="12.75" hidden="1" customHeight="1" x14ac:dyDescent="0.3">
      <c r="A107" s="13"/>
      <c r="B107" s="69"/>
      <c r="D107" s="31"/>
      <c r="E107" s="32"/>
      <c r="F107" s="33"/>
      <c r="G107" s="31"/>
      <c r="H107" s="31"/>
      <c r="I107" s="31"/>
      <c r="J107" s="31"/>
      <c r="K107" s="11"/>
      <c r="L107" s="717"/>
      <c r="M107" s="717"/>
      <c r="N107" s="717"/>
      <c r="O107" s="717"/>
      <c r="P107" s="717"/>
      <c r="Q107" s="717"/>
      <c r="R107" s="717"/>
      <c r="S107" s="717"/>
      <c r="T107" s="717"/>
      <c r="U107" s="717"/>
      <c r="V107" s="717"/>
      <c r="W107" s="717"/>
      <c r="X107" s="717"/>
      <c r="Y107" s="717"/>
      <c r="Z107" s="717"/>
      <c r="AA107" s="717"/>
      <c r="AB107" s="717"/>
      <c r="AC107" s="717"/>
      <c r="AD107" s="717"/>
      <c r="AE107" s="717"/>
      <c r="AF107" s="717"/>
      <c r="AG107" s="717"/>
      <c r="AH107" s="717"/>
      <c r="AI107" s="717"/>
      <c r="AJ107" s="717"/>
      <c r="AK107" s="717"/>
      <c r="AL107" s="717"/>
      <c r="AM107" s="717"/>
      <c r="AN107" s="717"/>
      <c r="AO107" s="717"/>
      <c r="AP107" s="717"/>
      <c r="AQ107" s="717"/>
      <c r="AR107" s="717"/>
      <c r="AS107" s="20"/>
    </row>
    <row r="108" spans="1:45" ht="4.5" customHeight="1" x14ac:dyDescent="0.3">
      <c r="A108" s="13"/>
      <c r="B108" s="69"/>
      <c r="D108" s="31"/>
      <c r="E108" s="32"/>
      <c r="F108" s="33"/>
      <c r="G108" s="31"/>
      <c r="H108" s="31"/>
      <c r="I108" s="31"/>
      <c r="J108" s="31"/>
      <c r="K108" s="11"/>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0"/>
    </row>
    <row r="109" spans="1:45" ht="25.5" customHeight="1" x14ac:dyDescent="0.3">
      <c r="A109" s="13" t="s">
        <v>640</v>
      </c>
      <c r="B109" s="69"/>
      <c r="D109" s="31"/>
      <c r="E109" s="34"/>
      <c r="F109" s="31"/>
      <c r="G109" s="31"/>
      <c r="H109" s="31"/>
      <c r="I109" s="31"/>
      <c r="J109" s="31"/>
      <c r="K109" s="11"/>
      <c r="L109" s="717" t="s">
        <v>1802</v>
      </c>
      <c r="M109" s="717"/>
      <c r="N109" s="717"/>
      <c r="O109" s="717"/>
      <c r="P109" s="717"/>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7"/>
      <c r="AQ109" s="717"/>
      <c r="AR109" s="717"/>
      <c r="AS109" s="20"/>
    </row>
    <row r="110" spans="1:45" ht="4.5" customHeight="1" x14ac:dyDescent="0.3">
      <c r="A110" s="13"/>
      <c r="B110" s="69"/>
      <c r="D110" s="31"/>
      <c r="E110" s="34"/>
      <c r="F110" s="31"/>
      <c r="G110" s="31"/>
      <c r="H110" s="31"/>
      <c r="I110" s="31"/>
      <c r="J110" s="31"/>
      <c r="K110" s="11"/>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2"/>
      <c r="AS110" s="20"/>
    </row>
    <row r="111" spans="1:45" ht="27" customHeight="1" x14ac:dyDescent="0.3">
      <c r="A111" s="13" t="s">
        <v>641</v>
      </c>
      <c r="B111" s="69"/>
      <c r="D111" s="31"/>
      <c r="E111" s="32"/>
      <c r="F111" s="33"/>
      <c r="G111" s="31"/>
      <c r="H111" s="31"/>
      <c r="I111" s="31"/>
      <c r="J111" s="31"/>
      <c r="K111" s="11"/>
      <c r="L111" s="717" t="s">
        <v>1244</v>
      </c>
      <c r="M111" s="717"/>
      <c r="N111" s="717"/>
      <c r="O111" s="717"/>
      <c r="P111" s="717"/>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7"/>
      <c r="AQ111" s="717"/>
      <c r="AR111" s="717"/>
      <c r="AS111" s="20"/>
    </row>
    <row r="112" spans="1:45" ht="4.5" customHeight="1" x14ac:dyDescent="0.3">
      <c r="A112" s="13"/>
      <c r="B112" s="69"/>
      <c r="E112" s="35"/>
      <c r="K112" s="11"/>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0"/>
    </row>
    <row r="113" spans="1:80" x14ac:dyDescent="0.3">
      <c r="A113" s="13" t="s">
        <v>642</v>
      </c>
      <c r="B113" s="69"/>
      <c r="E113" s="11"/>
      <c r="F113" s="3"/>
      <c r="K113" s="11"/>
      <c r="L113" s="727" t="s">
        <v>1245</v>
      </c>
      <c r="M113" s="727"/>
      <c r="N113" s="727"/>
      <c r="O113" s="727"/>
      <c r="P113" s="727"/>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727"/>
      <c r="AQ113" s="727"/>
      <c r="AR113" s="727"/>
      <c r="AS113" s="20"/>
    </row>
    <row r="114" spans="1:80" ht="4.5" customHeight="1" x14ac:dyDescent="0.3">
      <c r="A114" s="13"/>
      <c r="B114" s="69"/>
      <c r="E114" s="11"/>
      <c r="K114" s="11"/>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0"/>
    </row>
    <row r="115" spans="1:80" x14ac:dyDescent="0.3">
      <c r="A115" s="13" t="s">
        <v>643</v>
      </c>
      <c r="B115" s="69"/>
      <c r="D115" s="31"/>
      <c r="E115" s="32"/>
      <c r="F115" s="33"/>
      <c r="G115" s="31"/>
      <c r="H115" s="31"/>
      <c r="I115" s="31"/>
      <c r="J115" s="31"/>
      <c r="K115" s="11"/>
      <c r="L115" s="727" t="s">
        <v>1801</v>
      </c>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20"/>
    </row>
    <row r="116" spans="1:80" ht="4.5" customHeight="1" x14ac:dyDescent="0.3">
      <c r="A116" s="13"/>
      <c r="B116" s="69"/>
      <c r="E116" s="11"/>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20"/>
    </row>
    <row r="117" spans="1:80" x14ac:dyDescent="0.3">
      <c r="A117" s="13"/>
      <c r="B117" s="69"/>
      <c r="E117" s="11"/>
      <c r="F117" s="13" t="s">
        <v>700</v>
      </c>
      <c r="J117" s="706" t="str">
        <f>IF(calculations!M6,"describe corrective action proposed to correct any Red Flag or Yellow Flag ranking",IF(calculations!N6,"describe corrective action proposed to correct any Red Flag or Yellow Flag ranking","we changed the criteria"))</f>
        <v>we changed the criteria</v>
      </c>
      <c r="K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c r="AN117" s="707"/>
      <c r="AO117" s="707"/>
      <c r="AP117" s="707"/>
      <c r="AQ117" s="707"/>
      <c r="AR117" s="708"/>
      <c r="AS117" s="20"/>
    </row>
    <row r="118" spans="1:80" ht="4.5" customHeight="1" x14ac:dyDescent="0.3">
      <c r="A118" s="13"/>
      <c r="B118" s="69"/>
      <c r="E118" s="1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0"/>
    </row>
    <row r="119" spans="1:80" ht="27.75" customHeight="1" x14ac:dyDescent="0.3">
      <c r="A119" s="13"/>
      <c r="B119" s="69"/>
      <c r="E119" s="11"/>
      <c r="F119" s="55" t="str">
        <f>IF(calculations!M6,"OFE",IF(calculations!N6,"VITAL REC",IF(J119&gt;"","REC","")))</f>
        <v/>
      </c>
      <c r="G119" s="38"/>
      <c r="J119" s="724" t="str">
        <f>IF(calculations!M6,CONCATENATE("OFE:  ",Rec!E7),IF(calculations!N6,Rec!E8,""))</f>
        <v/>
      </c>
      <c r="K119" s="725"/>
      <c r="L119" s="725"/>
      <c r="M119" s="725"/>
      <c r="N119" s="725"/>
      <c r="O119" s="725"/>
      <c r="P119" s="725"/>
      <c r="Q119" s="725"/>
      <c r="R119" s="725"/>
      <c r="S119" s="725"/>
      <c r="T119" s="725"/>
      <c r="U119" s="725"/>
      <c r="V119" s="725"/>
      <c r="W119" s="725"/>
      <c r="X119" s="725"/>
      <c r="Y119" s="725"/>
      <c r="Z119" s="725"/>
      <c r="AA119" s="725"/>
      <c r="AB119" s="725"/>
      <c r="AC119" s="725"/>
      <c r="AD119" s="725"/>
      <c r="AE119" s="725"/>
      <c r="AF119" s="725"/>
      <c r="AG119" s="725"/>
      <c r="AH119" s="725"/>
      <c r="AI119" s="725"/>
      <c r="AJ119" s="725"/>
      <c r="AK119" s="725"/>
      <c r="AL119" s="725"/>
      <c r="AM119" s="725"/>
      <c r="AN119" s="725"/>
      <c r="AO119" s="725"/>
      <c r="AP119" s="725"/>
      <c r="AQ119" s="725"/>
      <c r="AR119" s="726"/>
      <c r="AS119" s="20"/>
    </row>
    <row r="120" spans="1:80" ht="12.75" customHeight="1" x14ac:dyDescent="0.3">
      <c r="A120" s="13"/>
      <c r="B120" s="69"/>
      <c r="E120" s="11"/>
      <c r="F120" s="37"/>
      <c r="AS120" s="20"/>
    </row>
    <row r="121" spans="1:80" ht="14.15" x14ac:dyDescent="0.35">
      <c r="A121" s="232" t="s">
        <v>857</v>
      </c>
      <c r="B121" s="69"/>
      <c r="D121" s="30" t="s">
        <v>576</v>
      </c>
      <c r="E121" s="11"/>
      <c r="AS121" s="20"/>
    </row>
    <row r="122" spans="1:80" ht="4.5" customHeight="1" x14ac:dyDescent="0.3">
      <c r="A122" s="13"/>
      <c r="B122" s="69"/>
      <c r="E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20"/>
    </row>
    <row r="123" spans="1:80" ht="38.25" customHeight="1" x14ac:dyDescent="0.3">
      <c r="A123" s="13" t="s">
        <v>647</v>
      </c>
      <c r="B123" s="69"/>
      <c r="D123" s="31"/>
      <c r="E123" s="32"/>
      <c r="F123" s="33"/>
      <c r="G123" s="31"/>
      <c r="H123" s="31"/>
      <c r="I123" s="31"/>
      <c r="J123" s="215"/>
      <c r="K123" s="212"/>
      <c r="L123" s="717" t="s">
        <v>1093</v>
      </c>
      <c r="M123" s="717"/>
      <c r="N123" s="717"/>
      <c r="O123" s="717"/>
      <c r="P123" s="717"/>
      <c r="Q123" s="717"/>
      <c r="R123" s="717"/>
      <c r="S123" s="717"/>
      <c r="T123" s="717"/>
      <c r="U123" s="717"/>
      <c r="V123" s="717"/>
      <c r="W123" s="717"/>
      <c r="X123" s="717"/>
      <c r="Y123" s="717"/>
      <c r="Z123" s="717"/>
      <c r="AA123" s="717"/>
      <c r="AB123" s="717"/>
      <c r="AC123" s="717"/>
      <c r="AD123" s="717"/>
      <c r="AE123" s="717"/>
      <c r="AF123" s="717"/>
      <c r="AG123" s="717"/>
      <c r="AH123" s="717"/>
      <c r="AI123" s="717"/>
      <c r="AJ123" s="717"/>
      <c r="AK123" s="717"/>
      <c r="AL123" s="717"/>
      <c r="AM123" s="717"/>
      <c r="AN123" s="717"/>
      <c r="AO123" s="717"/>
      <c r="AP123" s="717"/>
      <c r="AQ123" s="717"/>
      <c r="AR123" s="717"/>
      <c r="AS123" s="20"/>
    </row>
    <row r="124" spans="1:80" ht="4.5" customHeight="1" x14ac:dyDescent="0.3">
      <c r="A124" s="13"/>
      <c r="B124" s="69"/>
      <c r="D124" s="31"/>
      <c r="E124" s="34"/>
      <c r="F124" s="31"/>
      <c r="G124" s="31"/>
      <c r="H124" s="31"/>
      <c r="I124" s="31"/>
      <c r="J124" s="215"/>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0"/>
    </row>
    <row r="125" spans="1:80" ht="26.25" customHeight="1" x14ac:dyDescent="0.3">
      <c r="A125" s="13" t="s">
        <v>648</v>
      </c>
      <c r="B125" s="69"/>
      <c r="D125" s="31"/>
      <c r="E125" s="32"/>
      <c r="F125" s="33"/>
      <c r="G125" s="31"/>
      <c r="H125" s="31"/>
      <c r="I125" s="31"/>
      <c r="J125" s="215"/>
      <c r="K125" s="212"/>
      <c r="L125" s="717" t="s">
        <v>1800</v>
      </c>
      <c r="M125" s="717"/>
      <c r="N125" s="717"/>
      <c r="O125" s="717"/>
      <c r="P125" s="717"/>
      <c r="Q125" s="717"/>
      <c r="R125" s="717"/>
      <c r="S125" s="717"/>
      <c r="T125" s="717"/>
      <c r="U125" s="717"/>
      <c r="V125" s="717"/>
      <c r="W125" s="717"/>
      <c r="X125" s="717"/>
      <c r="Y125" s="717"/>
      <c r="Z125" s="717"/>
      <c r="AA125" s="717"/>
      <c r="AB125" s="717"/>
      <c r="AC125" s="717"/>
      <c r="AD125" s="717"/>
      <c r="AE125" s="717"/>
      <c r="AF125" s="717"/>
      <c r="AG125" s="717"/>
      <c r="AH125" s="717"/>
      <c r="AI125" s="717"/>
      <c r="AJ125" s="717"/>
      <c r="AK125" s="717"/>
      <c r="AL125" s="717"/>
      <c r="AM125" s="717"/>
      <c r="AN125" s="717"/>
      <c r="AO125" s="717"/>
      <c r="AP125" s="717"/>
      <c r="AQ125" s="717"/>
      <c r="AR125" s="717"/>
      <c r="AS125" s="20"/>
      <c r="AU125" s="630"/>
      <c r="AV125" s="630"/>
      <c r="AW125" s="630"/>
      <c r="AX125" s="630"/>
      <c r="AY125" s="630"/>
      <c r="AZ125" s="630"/>
      <c r="BA125" s="630"/>
      <c r="BB125" s="630"/>
      <c r="BC125" s="630"/>
      <c r="BD125" s="630"/>
      <c r="BE125" s="630"/>
      <c r="BF125" s="630"/>
      <c r="BG125" s="630"/>
      <c r="BH125" s="630"/>
      <c r="BI125" s="630"/>
      <c r="BJ125" s="630"/>
      <c r="BK125" s="630"/>
      <c r="BL125" s="630"/>
      <c r="BM125" s="630"/>
      <c r="BN125" s="630"/>
      <c r="BO125" s="630"/>
      <c r="BP125" s="630"/>
      <c r="BQ125" s="630"/>
      <c r="BR125" s="630"/>
      <c r="BS125" s="630"/>
      <c r="BT125" s="630"/>
      <c r="BU125" s="630"/>
      <c r="BV125" s="630"/>
      <c r="BW125" s="630"/>
      <c r="BX125" s="630"/>
      <c r="BY125" s="630"/>
      <c r="BZ125" s="630"/>
      <c r="CA125" s="630"/>
      <c r="CB125" s="54"/>
    </row>
    <row r="126" spans="1:80" ht="4.5" customHeight="1" x14ac:dyDescent="0.3">
      <c r="A126" s="13"/>
      <c r="B126" s="69"/>
      <c r="D126" s="31"/>
      <c r="E126" s="32"/>
      <c r="F126" s="33"/>
      <c r="G126" s="31"/>
      <c r="H126" s="31"/>
      <c r="I126" s="31"/>
      <c r="J126" s="215"/>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0"/>
    </row>
    <row r="127" spans="1:80" ht="39.75" customHeight="1" x14ac:dyDescent="0.3">
      <c r="A127" s="13" t="s">
        <v>649</v>
      </c>
      <c r="B127" s="69"/>
      <c r="D127" s="31"/>
      <c r="E127" s="34"/>
      <c r="F127" s="31"/>
      <c r="G127" s="31"/>
      <c r="H127" s="31"/>
      <c r="I127" s="31"/>
      <c r="J127" s="215"/>
      <c r="K127" s="212"/>
      <c r="L127" s="717" t="str">
        <f>IF(calculations!B3=1,forms!A240,forms!A239)</f>
        <v>1) Child abuse prevention training (The Redwoods Group, Inc., Y-USA, or equivalent) is completed by all paid staff members and all child-serving volunteers within 60 days of hire. 
2) Summer staff complete training before they begin camp.</v>
      </c>
      <c r="M127" s="717"/>
      <c r="N127" s="717"/>
      <c r="O127" s="717"/>
      <c r="P127" s="717"/>
      <c r="Q127" s="717"/>
      <c r="R127" s="717"/>
      <c r="S127" s="717"/>
      <c r="T127" s="717"/>
      <c r="U127" s="717"/>
      <c r="V127" s="717"/>
      <c r="W127" s="717"/>
      <c r="X127" s="717"/>
      <c r="Y127" s="717"/>
      <c r="Z127" s="717"/>
      <c r="AA127" s="717"/>
      <c r="AB127" s="717"/>
      <c r="AC127" s="717"/>
      <c r="AD127" s="717"/>
      <c r="AE127" s="717"/>
      <c r="AF127" s="717"/>
      <c r="AG127" s="717"/>
      <c r="AH127" s="717"/>
      <c r="AI127" s="717"/>
      <c r="AJ127" s="717"/>
      <c r="AK127" s="717"/>
      <c r="AL127" s="717"/>
      <c r="AM127" s="717"/>
      <c r="AN127" s="717"/>
      <c r="AO127" s="717"/>
      <c r="AP127" s="717"/>
      <c r="AQ127" s="717"/>
      <c r="AR127" s="717"/>
      <c r="AS127" s="20"/>
      <c r="AU127" s="630"/>
      <c r="AV127" s="630"/>
      <c r="AW127" s="630"/>
      <c r="AX127" s="630"/>
      <c r="AY127" s="630"/>
      <c r="AZ127" s="630"/>
      <c r="BA127" s="630"/>
      <c r="BB127" s="630"/>
      <c r="BC127" s="630"/>
      <c r="BD127" s="630"/>
      <c r="BE127" s="630"/>
      <c r="BF127" s="630"/>
      <c r="BG127" s="630"/>
      <c r="BH127" s="630"/>
      <c r="BI127" s="630"/>
      <c r="BJ127" s="630"/>
      <c r="BK127" s="630"/>
      <c r="BL127" s="630"/>
      <c r="BM127" s="630"/>
      <c r="BN127" s="630"/>
      <c r="BO127" s="630"/>
      <c r="BP127" s="630"/>
      <c r="BQ127" s="630"/>
      <c r="BR127" s="630"/>
      <c r="BS127" s="630"/>
      <c r="BT127" s="630"/>
      <c r="BU127" s="630"/>
      <c r="BV127" s="630"/>
      <c r="BW127" s="630"/>
      <c r="BX127" s="630"/>
      <c r="BY127" s="630"/>
      <c r="BZ127" s="630"/>
      <c r="CA127" s="630"/>
      <c r="CB127" s="54"/>
    </row>
    <row r="128" spans="1:80" ht="0.75" customHeight="1" x14ac:dyDescent="0.3">
      <c r="A128" s="13"/>
      <c r="B128" s="69"/>
      <c r="D128" s="31"/>
      <c r="E128" s="34"/>
      <c r="F128" s="31"/>
      <c r="G128" s="31"/>
      <c r="H128" s="31"/>
      <c r="I128" s="31"/>
      <c r="J128" s="215"/>
      <c r="K128" s="212"/>
      <c r="L128" s="717"/>
      <c r="M128" s="717"/>
      <c r="N128" s="717"/>
      <c r="O128" s="717"/>
      <c r="P128" s="717"/>
      <c r="Q128" s="717"/>
      <c r="R128" s="717"/>
      <c r="S128" s="717"/>
      <c r="T128" s="717"/>
      <c r="U128" s="717"/>
      <c r="V128" s="717"/>
      <c r="W128" s="717"/>
      <c r="X128" s="717"/>
      <c r="Y128" s="717"/>
      <c r="Z128" s="717"/>
      <c r="AA128" s="717"/>
      <c r="AB128" s="717"/>
      <c r="AC128" s="717"/>
      <c r="AD128" s="717"/>
      <c r="AE128" s="717"/>
      <c r="AF128" s="717"/>
      <c r="AG128" s="717"/>
      <c r="AH128" s="717"/>
      <c r="AI128" s="717"/>
      <c r="AJ128" s="717"/>
      <c r="AK128" s="717"/>
      <c r="AL128" s="717"/>
      <c r="AM128" s="717"/>
      <c r="AN128" s="717"/>
      <c r="AO128" s="717"/>
      <c r="AP128" s="717"/>
      <c r="AQ128" s="717"/>
      <c r="AR128" s="717"/>
      <c r="AU128" s="630"/>
      <c r="AV128" s="630"/>
      <c r="AW128" s="630"/>
      <c r="AX128" s="630"/>
      <c r="AY128" s="630"/>
      <c r="AZ128" s="630"/>
      <c r="BA128" s="630"/>
      <c r="BB128" s="630"/>
      <c r="BC128" s="630"/>
      <c r="BD128" s="630"/>
      <c r="BE128" s="630"/>
      <c r="BF128" s="630"/>
      <c r="BG128" s="630"/>
      <c r="BH128" s="630"/>
      <c r="BI128" s="630"/>
      <c r="BJ128" s="630"/>
      <c r="BK128" s="630"/>
      <c r="BL128" s="630"/>
      <c r="BM128" s="630"/>
      <c r="BN128" s="630"/>
      <c r="BO128" s="630"/>
      <c r="BP128" s="630"/>
      <c r="BQ128" s="630"/>
      <c r="BR128" s="630"/>
      <c r="BS128" s="630"/>
      <c r="BT128" s="630"/>
      <c r="BU128" s="630"/>
      <c r="BV128" s="630"/>
      <c r="BW128" s="630"/>
      <c r="BX128" s="630"/>
      <c r="BY128" s="630"/>
      <c r="BZ128" s="630"/>
      <c r="CA128" s="630"/>
    </row>
    <row r="129" spans="1:79" ht="13.5" hidden="1" customHeight="1" x14ac:dyDescent="0.3">
      <c r="A129" s="13"/>
      <c r="B129" s="69"/>
      <c r="D129" s="31"/>
      <c r="E129" s="32"/>
      <c r="F129" s="33"/>
      <c r="G129" s="31"/>
      <c r="H129" s="31"/>
      <c r="I129" s="31"/>
      <c r="J129" s="215"/>
      <c r="K129" s="212"/>
      <c r="L129" s="717"/>
      <c r="M129" s="717"/>
      <c r="N129" s="717"/>
      <c r="O129" s="717"/>
      <c r="P129" s="717"/>
      <c r="Q129" s="717"/>
      <c r="R129" s="717"/>
      <c r="S129" s="717"/>
      <c r="T129" s="717"/>
      <c r="U129" s="717"/>
      <c r="V129" s="717"/>
      <c r="W129" s="717"/>
      <c r="X129" s="717"/>
      <c r="Y129" s="717"/>
      <c r="Z129" s="717"/>
      <c r="AA129" s="717"/>
      <c r="AB129" s="717"/>
      <c r="AC129" s="717"/>
      <c r="AD129" s="717"/>
      <c r="AE129" s="717"/>
      <c r="AF129" s="717"/>
      <c r="AG129" s="717"/>
      <c r="AH129" s="717"/>
      <c r="AI129" s="717"/>
      <c r="AJ129" s="717"/>
      <c r="AK129" s="717"/>
      <c r="AL129" s="717"/>
      <c r="AM129" s="717"/>
      <c r="AN129" s="717"/>
      <c r="AO129" s="717"/>
      <c r="AP129" s="717"/>
      <c r="AQ129" s="717"/>
      <c r="AR129" s="717"/>
      <c r="AU129" s="630"/>
      <c r="AV129" s="630"/>
      <c r="AW129" s="630"/>
      <c r="AX129" s="630"/>
      <c r="AY129" s="630"/>
      <c r="AZ129" s="630"/>
      <c r="BA129" s="630"/>
      <c r="BB129" s="630"/>
      <c r="BC129" s="630"/>
      <c r="BD129" s="630"/>
      <c r="BE129" s="630"/>
      <c r="BF129" s="630"/>
      <c r="BG129" s="630"/>
      <c r="BH129" s="630"/>
      <c r="BI129" s="630"/>
      <c r="BJ129" s="630"/>
      <c r="BK129" s="630"/>
      <c r="BL129" s="630"/>
      <c r="BM129" s="630"/>
      <c r="BN129" s="630"/>
      <c r="BO129" s="630"/>
      <c r="BP129" s="630"/>
      <c r="BQ129" s="630"/>
      <c r="BR129" s="630"/>
      <c r="BS129" s="630"/>
      <c r="BT129" s="630"/>
      <c r="BU129" s="630"/>
      <c r="BV129" s="630"/>
      <c r="BW129" s="630"/>
      <c r="BX129" s="630"/>
      <c r="BY129" s="630"/>
      <c r="BZ129" s="630"/>
      <c r="CA129" s="630"/>
    </row>
    <row r="130" spans="1:79" ht="4.5" customHeight="1" x14ac:dyDescent="0.3">
      <c r="A130" s="13"/>
      <c r="B130" s="69"/>
      <c r="E130" s="35"/>
      <c r="J130" s="214"/>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c r="AK130" s="212"/>
      <c r="AL130" s="212"/>
      <c r="AM130" s="212"/>
      <c r="AN130" s="212"/>
      <c r="AO130" s="212"/>
      <c r="AP130" s="212"/>
      <c r="AQ130" s="212"/>
      <c r="AR130" s="212"/>
    </row>
    <row r="131" spans="1:79" ht="26.25" customHeight="1" x14ac:dyDescent="0.3">
      <c r="A131" s="13" t="s">
        <v>286</v>
      </c>
      <c r="B131" s="69"/>
      <c r="E131" s="11"/>
      <c r="F131" s="3"/>
      <c r="J131" s="214"/>
      <c r="K131" s="212"/>
      <c r="L131" s="717" t="s">
        <v>1798</v>
      </c>
      <c r="M131" s="717"/>
      <c r="N131" s="717"/>
      <c r="O131" s="717"/>
      <c r="P131" s="717"/>
      <c r="Q131" s="717"/>
      <c r="R131" s="717"/>
      <c r="S131" s="717"/>
      <c r="T131" s="717"/>
      <c r="U131" s="717"/>
      <c r="V131" s="717"/>
      <c r="W131" s="717"/>
      <c r="X131" s="717"/>
      <c r="Y131" s="717"/>
      <c r="Z131" s="717"/>
      <c r="AA131" s="717"/>
      <c r="AB131" s="717"/>
      <c r="AC131" s="717"/>
      <c r="AD131" s="717"/>
      <c r="AE131" s="717"/>
      <c r="AF131" s="717"/>
      <c r="AG131" s="717"/>
      <c r="AH131" s="717"/>
      <c r="AI131" s="717"/>
      <c r="AJ131" s="717"/>
      <c r="AK131" s="717"/>
      <c r="AL131" s="717"/>
      <c r="AM131" s="717"/>
      <c r="AN131" s="717"/>
      <c r="AO131" s="717"/>
      <c r="AP131" s="717"/>
      <c r="AQ131" s="717"/>
      <c r="AR131" s="717"/>
      <c r="AS131" s="25"/>
    </row>
    <row r="132" spans="1:79" ht="4.5" customHeight="1" x14ac:dyDescent="0.3">
      <c r="A132" s="13"/>
      <c r="B132" s="69"/>
      <c r="E132" s="11"/>
      <c r="J132" s="214"/>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row>
    <row r="133" spans="1:79" x14ac:dyDescent="0.3">
      <c r="A133" s="13" t="s">
        <v>285</v>
      </c>
      <c r="B133" s="69"/>
      <c r="E133" s="32"/>
      <c r="F133" s="3"/>
      <c r="J133" s="214"/>
      <c r="K133" s="212"/>
      <c r="L133" s="727" t="s">
        <v>1797</v>
      </c>
      <c r="M133" s="727"/>
      <c r="N133" s="727"/>
      <c r="O133" s="727"/>
      <c r="P133" s="727"/>
      <c r="Q133" s="727"/>
      <c r="R133" s="727"/>
      <c r="S133" s="727"/>
      <c r="T133" s="727"/>
      <c r="U133" s="727"/>
      <c r="V133" s="727"/>
      <c r="W133" s="727"/>
      <c r="X133" s="727"/>
      <c r="Y133" s="727"/>
      <c r="Z133" s="727"/>
      <c r="AA133" s="727"/>
      <c r="AB133" s="727"/>
      <c r="AC133" s="727"/>
      <c r="AD133" s="727"/>
      <c r="AE133" s="727"/>
      <c r="AF133" s="727"/>
      <c r="AG133" s="727"/>
      <c r="AH133" s="727"/>
      <c r="AI133" s="727"/>
      <c r="AJ133" s="727"/>
      <c r="AK133" s="727"/>
      <c r="AL133" s="727"/>
      <c r="AM133" s="727"/>
      <c r="AN133" s="727"/>
      <c r="AO133" s="727"/>
      <c r="AP133" s="727"/>
      <c r="AQ133" s="727"/>
      <c r="AR133" s="727"/>
    </row>
    <row r="134" spans="1:79" ht="4.5" customHeight="1" x14ac:dyDescent="0.3">
      <c r="A134" s="13"/>
      <c r="B134" s="69"/>
      <c r="E134" s="11"/>
      <c r="J134" s="214"/>
      <c r="K134" s="216"/>
      <c r="L134" s="216"/>
      <c r="M134" s="216"/>
      <c r="N134" s="216"/>
      <c r="O134" s="216"/>
      <c r="P134" s="216"/>
      <c r="Q134" s="216"/>
      <c r="R134" s="216"/>
      <c r="S134" s="216"/>
      <c r="T134" s="216"/>
      <c r="U134" s="216"/>
      <c r="V134" s="216"/>
      <c r="W134" s="216"/>
      <c r="X134" s="216"/>
      <c r="Y134" s="216"/>
      <c r="Z134" s="216"/>
      <c r="AA134" s="216"/>
      <c r="AB134" s="216"/>
      <c r="AC134" s="216"/>
      <c r="AD134" s="216"/>
      <c r="AE134" s="216"/>
      <c r="AF134" s="216"/>
      <c r="AG134" s="216"/>
      <c r="AH134" s="216"/>
      <c r="AI134" s="216"/>
      <c r="AJ134" s="216"/>
      <c r="AK134" s="216"/>
      <c r="AL134" s="216"/>
      <c r="AM134" s="216"/>
      <c r="AN134" s="216"/>
      <c r="AO134" s="216"/>
      <c r="AP134" s="216"/>
      <c r="AQ134" s="216"/>
      <c r="AR134" s="216"/>
    </row>
    <row r="135" spans="1:79" x14ac:dyDescent="0.3">
      <c r="A135" s="13"/>
      <c r="B135" s="69"/>
      <c r="E135" s="11"/>
      <c r="F135" s="13" t="s">
        <v>700</v>
      </c>
      <c r="J135" s="706" t="str">
        <f>IF(calculations!M7,"describe corrective action proposed to correct any Red Flag or Yellow Flag ranking",IF(calculations!N7,"describe corrective action proposed to correct any Red Flag or Yellow Flag ranking","we changed the criteria"))</f>
        <v>we changed the criteria</v>
      </c>
      <c r="K135" s="707"/>
      <c r="L135" s="707"/>
      <c r="M135" s="707"/>
      <c r="N135" s="707"/>
      <c r="O135" s="707"/>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c r="AK135" s="707"/>
      <c r="AL135" s="707"/>
      <c r="AM135" s="707"/>
      <c r="AN135" s="707"/>
      <c r="AO135" s="707"/>
      <c r="AP135" s="707"/>
      <c r="AQ135" s="707"/>
      <c r="AR135" s="708"/>
    </row>
    <row r="136" spans="1:79" ht="4.5" customHeight="1" x14ac:dyDescent="0.3">
      <c r="A136" s="13"/>
      <c r="B136" s="69"/>
      <c r="E136" s="11"/>
      <c r="G136" s="38"/>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row>
    <row r="137" spans="1:79" ht="38.25" customHeight="1" x14ac:dyDescent="0.3">
      <c r="A137" s="13"/>
      <c r="B137" s="69"/>
      <c r="E137" s="11"/>
      <c r="F137" s="55" t="str">
        <f>IF(J137&gt;"","REC",IF(calculations!M7,"REC",IF(calculations!N7,"REC","")))</f>
        <v/>
      </c>
      <c r="G137" s="38"/>
      <c r="J137" s="724" t="str">
        <f>IF(calculations!M7,Rec!E9,IF(calculations!N7,Rec!E10,""))</f>
        <v/>
      </c>
      <c r="K137" s="725"/>
      <c r="L137" s="725"/>
      <c r="M137" s="725"/>
      <c r="N137" s="725"/>
      <c r="O137" s="725"/>
      <c r="P137" s="725"/>
      <c r="Q137" s="725"/>
      <c r="R137" s="725"/>
      <c r="S137" s="725"/>
      <c r="T137" s="725"/>
      <c r="U137" s="725"/>
      <c r="V137" s="725"/>
      <c r="W137" s="725"/>
      <c r="X137" s="725"/>
      <c r="Y137" s="725"/>
      <c r="Z137" s="725"/>
      <c r="AA137" s="725"/>
      <c r="AB137" s="725"/>
      <c r="AC137" s="725"/>
      <c r="AD137" s="725"/>
      <c r="AE137" s="725"/>
      <c r="AF137" s="725"/>
      <c r="AG137" s="725"/>
      <c r="AH137" s="725"/>
      <c r="AI137" s="725"/>
      <c r="AJ137" s="725"/>
      <c r="AK137" s="725"/>
      <c r="AL137" s="725"/>
      <c r="AM137" s="725"/>
      <c r="AN137" s="725"/>
      <c r="AO137" s="725"/>
      <c r="AP137" s="725"/>
      <c r="AQ137" s="725"/>
      <c r="AR137" s="726"/>
    </row>
    <row r="138" spans="1:79" ht="12" customHeight="1" x14ac:dyDescent="0.3">
      <c r="A138" s="13"/>
      <c r="B138" s="69"/>
      <c r="E138" s="11"/>
      <c r="F138" s="37"/>
    </row>
    <row r="139" spans="1:79" ht="14.15" x14ac:dyDescent="0.35">
      <c r="A139" s="232" t="s">
        <v>858</v>
      </c>
      <c r="B139" s="69"/>
      <c r="D139" s="30" t="s">
        <v>739</v>
      </c>
      <c r="E139" s="11"/>
    </row>
    <row r="140" spans="1:79" ht="4.5" customHeight="1" x14ac:dyDescent="0.3">
      <c r="A140" s="13"/>
      <c r="B140" s="69"/>
      <c r="E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row>
    <row r="141" spans="1:79" ht="26.25" customHeight="1" x14ac:dyDescent="0.3">
      <c r="A141" s="13" t="s">
        <v>651</v>
      </c>
      <c r="B141" s="69"/>
      <c r="D141" s="31"/>
      <c r="E141" s="32"/>
      <c r="F141" s="33"/>
      <c r="G141" s="31"/>
      <c r="H141" s="31"/>
      <c r="I141" s="31"/>
      <c r="J141" s="215"/>
      <c r="K141" s="212"/>
      <c r="L141" s="717" t="str">
        <f>IF(calculations!B3=1,"1) PLATINUM MEDAL with the feedback systems being in place for the entire organization. 
2) Standards and procedures are consistent across the organization.","1) PLATINUM MEDAL with the feedback systems being in place for the entire association. 
2) Standards and procedures are consistent across the association.")</f>
        <v>1) PLATINUM MEDAL with the feedback systems being in place for the entire association. 
2) Standards and procedures are consistent across the association.</v>
      </c>
      <c r="M141" s="717"/>
      <c r="N141" s="717"/>
      <c r="O141" s="717"/>
      <c r="P141" s="717"/>
      <c r="Q141" s="717"/>
      <c r="R141" s="717"/>
      <c r="S141" s="717"/>
      <c r="T141" s="717"/>
      <c r="U141" s="717"/>
      <c r="V141" s="717"/>
      <c r="W141" s="717"/>
      <c r="X141" s="717"/>
      <c r="Y141" s="717"/>
      <c r="Z141" s="717"/>
      <c r="AA141" s="717"/>
      <c r="AB141" s="717"/>
      <c r="AC141" s="717"/>
      <c r="AD141" s="717"/>
      <c r="AE141" s="717"/>
      <c r="AF141" s="717"/>
      <c r="AG141" s="717"/>
      <c r="AH141" s="717"/>
      <c r="AI141" s="717"/>
      <c r="AJ141" s="717"/>
      <c r="AK141" s="717"/>
      <c r="AL141" s="717"/>
      <c r="AM141" s="717"/>
      <c r="AN141" s="717"/>
      <c r="AO141" s="717"/>
      <c r="AP141" s="717"/>
      <c r="AQ141" s="717"/>
      <c r="AR141" s="717"/>
    </row>
    <row r="142" spans="1:79" ht="4.5" customHeight="1" x14ac:dyDescent="0.3">
      <c r="A142" s="13"/>
      <c r="B142" s="69"/>
      <c r="D142" s="31"/>
      <c r="E142" s="34"/>
      <c r="F142" s="31"/>
      <c r="G142" s="31"/>
      <c r="H142" s="31"/>
      <c r="I142" s="31"/>
      <c r="J142" s="215"/>
      <c r="K142" s="212"/>
      <c r="L142" s="212"/>
      <c r="M142" s="212"/>
      <c r="N142" s="212"/>
      <c r="O142" s="212"/>
      <c r="P142" s="212"/>
      <c r="Q142" s="212"/>
      <c r="R142" s="212"/>
      <c r="S142" s="212"/>
      <c r="T142" s="212"/>
      <c r="U142" s="212"/>
      <c r="V142" s="212"/>
      <c r="W142" s="212"/>
      <c r="X142" s="212"/>
      <c r="Y142" s="212"/>
      <c r="Z142" s="212"/>
      <c r="AA142" s="212"/>
      <c r="AB142" s="212"/>
      <c r="AC142" s="212"/>
      <c r="AD142" s="212"/>
      <c r="AE142" s="212"/>
      <c r="AF142" s="212"/>
      <c r="AG142" s="212"/>
      <c r="AH142" s="212"/>
      <c r="AI142" s="212"/>
      <c r="AJ142" s="212"/>
      <c r="AK142" s="212"/>
      <c r="AL142" s="212"/>
      <c r="AM142" s="212"/>
      <c r="AN142" s="212"/>
      <c r="AO142" s="212"/>
      <c r="AP142" s="212"/>
      <c r="AQ142" s="212"/>
      <c r="AR142" s="212"/>
    </row>
    <row r="143" spans="1:79" ht="52.5" customHeight="1" x14ac:dyDescent="0.3">
      <c r="A143" s="13" t="s">
        <v>652</v>
      </c>
      <c r="B143" s="69"/>
      <c r="D143" s="31"/>
      <c r="E143" s="32"/>
      <c r="F143" s="33"/>
      <c r="G143" s="31"/>
      <c r="H143" s="31"/>
      <c r="I143" s="31"/>
      <c r="J143" s="215"/>
      <c r="K143" s="212"/>
      <c r="L143" s="717" t="s">
        <v>1094</v>
      </c>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c r="AJ143" s="717"/>
      <c r="AK143" s="717"/>
      <c r="AL143" s="717"/>
      <c r="AM143" s="717"/>
      <c r="AN143" s="717"/>
      <c r="AO143" s="717"/>
      <c r="AP143" s="717"/>
      <c r="AQ143" s="717"/>
      <c r="AR143" s="717"/>
    </row>
    <row r="144" spans="1:79" ht="4.5" customHeight="1" x14ac:dyDescent="0.3">
      <c r="A144" s="13"/>
      <c r="B144" s="69"/>
      <c r="D144" s="31"/>
      <c r="E144" s="32"/>
      <c r="F144" s="33"/>
      <c r="G144" s="31"/>
      <c r="H144" s="31"/>
      <c r="I144" s="31"/>
      <c r="J144" s="215"/>
      <c r="K144" s="212"/>
      <c r="L144" s="212"/>
      <c r="M144" s="212"/>
      <c r="N144" s="212"/>
      <c r="O144" s="212"/>
      <c r="P144" s="212"/>
      <c r="Q144" s="212"/>
      <c r="R144" s="212"/>
      <c r="S144" s="212"/>
      <c r="T144" s="212"/>
      <c r="U144" s="212"/>
      <c r="V144" s="212"/>
      <c r="W144" s="212"/>
      <c r="X144" s="212"/>
      <c r="Y144" s="212"/>
      <c r="Z144" s="212"/>
      <c r="AA144" s="212"/>
      <c r="AB144" s="212"/>
      <c r="AC144" s="212"/>
      <c r="AD144" s="212"/>
      <c r="AE144" s="212"/>
      <c r="AF144" s="212"/>
      <c r="AG144" s="212"/>
      <c r="AH144" s="212"/>
      <c r="AI144" s="212"/>
      <c r="AJ144" s="212"/>
      <c r="AK144" s="212"/>
      <c r="AL144" s="212"/>
      <c r="AM144" s="212"/>
      <c r="AN144" s="212"/>
      <c r="AO144" s="212"/>
      <c r="AP144" s="212"/>
      <c r="AQ144" s="212"/>
      <c r="AR144" s="212"/>
    </row>
    <row r="145" spans="1:53" ht="37.5" customHeight="1" x14ac:dyDescent="0.3">
      <c r="A145" s="13" t="s">
        <v>653</v>
      </c>
      <c r="B145" s="69"/>
      <c r="D145" s="31"/>
      <c r="E145" s="34"/>
      <c r="F145" s="31"/>
      <c r="G145" s="31"/>
      <c r="H145" s="31"/>
      <c r="I145" s="31"/>
      <c r="J145" s="215"/>
      <c r="K145" s="212"/>
      <c r="L145" s="717" t="str">
        <f>IF(calculations!B3=1,"1) The staff and volunteers’ abuse prevention code of conduct is given to all parents of youthful participants. 
2) A copy is also posted in the JCC and/or on the website.","1) The staff and volunteers’ abuse prevention code of conduct is given to all parents of youthful participants. 
2) A copy is also posted in the YMCA and/or on the website.")</f>
        <v>1) The staff and volunteers’ abuse prevention code of conduct is given to all parents of youthful participants. 
2) A copy is also posted in the YMCA and/or on the website.</v>
      </c>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c r="AJ145" s="717"/>
      <c r="AK145" s="717"/>
      <c r="AL145" s="717"/>
      <c r="AM145" s="717"/>
      <c r="AN145" s="717"/>
      <c r="AO145" s="717"/>
      <c r="AP145" s="717"/>
      <c r="AQ145" s="717"/>
      <c r="AR145" s="717"/>
    </row>
    <row r="146" spans="1:53" ht="4.5" customHeight="1" x14ac:dyDescent="0.3">
      <c r="A146" s="13"/>
      <c r="B146" s="69"/>
      <c r="D146" s="31"/>
      <c r="E146" s="34"/>
      <c r="F146" s="31"/>
      <c r="G146" s="31"/>
      <c r="H146" s="31"/>
      <c r="I146" s="31"/>
      <c r="J146" s="215"/>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212"/>
      <c r="AM146" s="212"/>
      <c r="AN146" s="212"/>
      <c r="AO146" s="212"/>
      <c r="AP146" s="212"/>
      <c r="AQ146" s="212"/>
      <c r="AR146" s="212"/>
    </row>
    <row r="147" spans="1:53" ht="39.75" customHeight="1" x14ac:dyDescent="0.3">
      <c r="A147" s="13" t="s">
        <v>654</v>
      </c>
      <c r="B147" s="69"/>
      <c r="D147" s="31"/>
      <c r="E147" s="32"/>
      <c r="F147" s="33"/>
      <c r="G147" s="31"/>
      <c r="H147" s="31"/>
      <c r="I147" s="31"/>
      <c r="J147" s="215"/>
      <c r="K147" s="212"/>
      <c r="L147" s="717" t="s">
        <v>1796</v>
      </c>
      <c r="M147" s="717"/>
      <c r="N147" s="717"/>
      <c r="O147" s="717"/>
      <c r="P147" s="717"/>
      <c r="Q147" s="717"/>
      <c r="R147" s="717"/>
      <c r="S147" s="717"/>
      <c r="T147" s="717"/>
      <c r="U147" s="717"/>
      <c r="V147" s="717"/>
      <c r="W147" s="717"/>
      <c r="X147" s="717"/>
      <c r="Y147" s="717"/>
      <c r="Z147" s="717"/>
      <c r="AA147" s="717"/>
      <c r="AB147" s="717"/>
      <c r="AC147" s="717"/>
      <c r="AD147" s="717"/>
      <c r="AE147" s="717"/>
      <c r="AF147" s="717"/>
      <c r="AG147" s="717"/>
      <c r="AH147" s="717"/>
      <c r="AI147" s="717"/>
      <c r="AJ147" s="717"/>
      <c r="AK147" s="717"/>
      <c r="AL147" s="717"/>
      <c r="AM147" s="717"/>
      <c r="AN147" s="717"/>
      <c r="AO147" s="717"/>
      <c r="AP147" s="717"/>
      <c r="AQ147" s="717"/>
      <c r="AR147" s="717"/>
    </row>
    <row r="148" spans="1:53" ht="4.5" customHeight="1" x14ac:dyDescent="0.3">
      <c r="A148" s="13"/>
      <c r="B148" s="69"/>
      <c r="E148" s="35"/>
      <c r="J148" s="214"/>
      <c r="K148" s="212"/>
      <c r="L148" s="212"/>
      <c r="M148" s="212"/>
      <c r="N148" s="212"/>
      <c r="O148" s="212"/>
      <c r="P148" s="212"/>
      <c r="Q148" s="212"/>
      <c r="R148" s="212"/>
      <c r="S148" s="212"/>
      <c r="T148" s="212"/>
      <c r="U148" s="212"/>
      <c r="V148" s="212"/>
      <c r="W148" s="212"/>
      <c r="X148" s="212"/>
      <c r="Y148" s="212"/>
      <c r="Z148" s="212"/>
      <c r="AA148" s="212"/>
      <c r="AB148" s="212"/>
      <c r="AC148" s="212"/>
      <c r="AD148" s="212"/>
      <c r="AE148" s="212"/>
      <c r="AF148" s="212"/>
      <c r="AG148" s="212"/>
      <c r="AH148" s="212"/>
      <c r="AI148" s="212"/>
      <c r="AJ148" s="212"/>
      <c r="AK148" s="212"/>
      <c r="AL148" s="212"/>
      <c r="AM148" s="212"/>
      <c r="AN148" s="212"/>
      <c r="AO148" s="212"/>
      <c r="AP148" s="212"/>
      <c r="AQ148" s="212"/>
      <c r="AR148" s="212"/>
    </row>
    <row r="149" spans="1:53" x14ac:dyDescent="0.3">
      <c r="A149" s="13" t="s">
        <v>655</v>
      </c>
      <c r="B149" s="69"/>
      <c r="E149" s="11"/>
      <c r="F149" s="3"/>
      <c r="J149" s="214"/>
      <c r="K149" s="212"/>
      <c r="L149" s="727" t="s">
        <v>1095</v>
      </c>
      <c r="M149" s="727"/>
      <c r="N149" s="727"/>
      <c r="O149" s="727"/>
      <c r="P149" s="727"/>
      <c r="Q149" s="727"/>
      <c r="R149" s="727"/>
      <c r="S149" s="727"/>
      <c r="T149" s="727"/>
      <c r="U149" s="727"/>
      <c r="V149" s="727"/>
      <c r="W149" s="727"/>
      <c r="X149" s="727"/>
      <c r="Y149" s="727"/>
      <c r="Z149" s="727"/>
      <c r="AA149" s="727"/>
      <c r="AB149" s="727"/>
      <c r="AC149" s="727"/>
      <c r="AD149" s="727"/>
      <c r="AE149" s="727"/>
      <c r="AF149" s="727"/>
      <c r="AG149" s="727"/>
      <c r="AH149" s="727"/>
      <c r="AI149" s="727"/>
      <c r="AJ149" s="727"/>
      <c r="AK149" s="727"/>
      <c r="AL149" s="727"/>
      <c r="AM149" s="727"/>
      <c r="AN149" s="727"/>
      <c r="AO149" s="727"/>
      <c r="AP149" s="727"/>
      <c r="AQ149" s="727"/>
      <c r="AR149" s="727"/>
    </row>
    <row r="150" spans="1:53" ht="4.5" customHeight="1" x14ac:dyDescent="0.3">
      <c r="A150" s="13"/>
      <c r="B150" s="69"/>
      <c r="E150" s="11"/>
      <c r="J150" s="214"/>
      <c r="K150" s="216"/>
      <c r="L150" s="216"/>
      <c r="M150" s="216"/>
      <c r="N150" s="216"/>
      <c r="O150" s="216"/>
      <c r="P150" s="216"/>
      <c r="Q150" s="216"/>
      <c r="R150" s="216"/>
      <c r="S150" s="216"/>
      <c r="T150" s="216"/>
      <c r="U150" s="216"/>
      <c r="V150" s="216"/>
      <c r="W150" s="216"/>
      <c r="X150" s="216"/>
      <c r="Y150" s="216"/>
      <c r="Z150" s="216"/>
      <c r="AA150" s="216"/>
      <c r="AB150" s="216"/>
      <c r="AC150" s="216"/>
      <c r="AD150" s="216"/>
      <c r="AE150" s="216"/>
      <c r="AF150" s="216"/>
      <c r="AG150" s="216"/>
      <c r="AH150" s="216"/>
      <c r="AI150" s="216"/>
      <c r="AJ150" s="216"/>
      <c r="AK150" s="216"/>
      <c r="AL150" s="216"/>
      <c r="AM150" s="216"/>
      <c r="AN150" s="216"/>
      <c r="AO150" s="216"/>
      <c r="AP150" s="216"/>
      <c r="AQ150" s="216"/>
      <c r="AR150" s="216"/>
    </row>
    <row r="151" spans="1:53" x14ac:dyDescent="0.3">
      <c r="A151" s="13"/>
      <c r="B151" s="69"/>
      <c r="E151" s="11"/>
      <c r="F151" s="13" t="s">
        <v>700</v>
      </c>
      <c r="J151" s="706" t="str">
        <f>IF(calculations!M8,"describe corrective action proposed to correct any Red Flag or Yellow Flag ranking",IF(calculations!N8,"describe corrective action proposed to correct any Red Flag or Yellow Flag ranking",""))</f>
        <v/>
      </c>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c r="AN151" s="707"/>
      <c r="AO151" s="707"/>
      <c r="AP151" s="707"/>
      <c r="AQ151" s="707"/>
      <c r="AR151" s="708"/>
    </row>
    <row r="152" spans="1:53" ht="4.5" customHeight="1" x14ac:dyDescent="0.3">
      <c r="A152" s="13"/>
      <c r="B152" s="69"/>
      <c r="E152" s="11"/>
      <c r="G152" s="38"/>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row>
    <row r="153" spans="1:53" ht="39" customHeight="1" x14ac:dyDescent="0.3">
      <c r="A153" s="13"/>
      <c r="B153" s="69"/>
      <c r="E153" s="11"/>
      <c r="F153" s="55" t="str">
        <f>IF(calculations!M8,"OFE",IF(calculations!N8,"OFE",IF(J153&gt;"","REC","")))</f>
        <v/>
      </c>
      <c r="G153" s="38"/>
      <c r="J153" s="724" t="str">
        <f>IF(calculations!M8,CONCATENATE("OFE:  ",Rec!E11),IF(calculations!N8,CONCATENATE("OFE:  ",Rec!E12),""))</f>
        <v/>
      </c>
      <c r="K153" s="725"/>
      <c r="L153" s="725"/>
      <c r="M153" s="725"/>
      <c r="N153" s="725"/>
      <c r="O153" s="725"/>
      <c r="P153" s="725"/>
      <c r="Q153" s="725"/>
      <c r="R153" s="725"/>
      <c r="S153" s="725"/>
      <c r="T153" s="725"/>
      <c r="U153" s="725"/>
      <c r="V153" s="725"/>
      <c r="W153" s="725"/>
      <c r="X153" s="725"/>
      <c r="Y153" s="725"/>
      <c r="Z153" s="725"/>
      <c r="AA153" s="725"/>
      <c r="AB153" s="725"/>
      <c r="AC153" s="725"/>
      <c r="AD153" s="725"/>
      <c r="AE153" s="725"/>
      <c r="AF153" s="725"/>
      <c r="AG153" s="725"/>
      <c r="AH153" s="725"/>
      <c r="AI153" s="725"/>
      <c r="AJ153" s="725"/>
      <c r="AK153" s="725"/>
      <c r="AL153" s="725"/>
      <c r="AM153" s="725"/>
      <c r="AN153" s="725"/>
      <c r="AO153" s="725"/>
      <c r="AP153" s="725"/>
      <c r="AQ153" s="725"/>
      <c r="AR153" s="726"/>
    </row>
    <row r="154" spans="1:53" ht="13.5" customHeight="1" x14ac:dyDescent="0.3">
      <c r="A154" s="13"/>
      <c r="B154" s="69"/>
      <c r="E154" s="11"/>
      <c r="F154" s="37"/>
    </row>
    <row r="155" spans="1:53" ht="14.15" x14ac:dyDescent="0.35">
      <c r="A155" s="232" t="s">
        <v>805</v>
      </c>
      <c r="B155" s="69"/>
      <c r="D155" s="30" t="s">
        <v>740</v>
      </c>
      <c r="E155" s="11"/>
    </row>
    <row r="156" spans="1:53" ht="4.5" customHeight="1" x14ac:dyDescent="0.3">
      <c r="A156" s="13"/>
      <c r="B156" s="69"/>
      <c r="E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row>
    <row r="157" spans="1:53" ht="13.5" customHeight="1" x14ac:dyDescent="0.3">
      <c r="A157" s="13" t="s">
        <v>676</v>
      </c>
      <c r="B157" s="69"/>
      <c r="D157" s="31"/>
      <c r="E157" s="32"/>
      <c r="F157" s="33"/>
      <c r="G157" s="31"/>
      <c r="H157" s="31"/>
      <c r="I157" s="31"/>
      <c r="J157" s="215"/>
      <c r="K157" s="212"/>
      <c r="L157" s="717" t="s">
        <v>1097</v>
      </c>
      <c r="M157" s="717"/>
      <c r="N157" s="717"/>
      <c r="O157" s="717"/>
      <c r="P157" s="717"/>
      <c r="Q157" s="717"/>
      <c r="R157" s="717"/>
      <c r="S157" s="717"/>
      <c r="T157" s="717"/>
      <c r="U157" s="717"/>
      <c r="V157" s="717"/>
      <c r="W157" s="717"/>
      <c r="X157" s="717"/>
      <c r="Y157" s="717"/>
      <c r="Z157" s="717"/>
      <c r="AA157" s="717"/>
      <c r="AB157" s="717"/>
      <c r="AC157" s="717"/>
      <c r="AD157" s="717"/>
      <c r="AE157" s="717"/>
      <c r="AF157" s="717"/>
      <c r="AG157" s="717"/>
      <c r="AH157" s="717"/>
      <c r="AI157" s="717"/>
      <c r="AJ157" s="717"/>
      <c r="AK157" s="717"/>
      <c r="AL157" s="717"/>
      <c r="AM157" s="717"/>
      <c r="AN157" s="717"/>
      <c r="AO157" s="717"/>
      <c r="AP157" s="717"/>
      <c r="AQ157" s="717"/>
      <c r="AR157" s="717"/>
      <c r="AT157" s="1"/>
      <c r="AV157" s="11"/>
    </row>
    <row r="158" spans="1:53" ht="4.5" customHeight="1" x14ac:dyDescent="0.3">
      <c r="A158" s="13"/>
      <c r="B158" s="69"/>
      <c r="D158" s="31"/>
      <c r="E158" s="34"/>
      <c r="F158" s="31"/>
      <c r="G158" s="31"/>
      <c r="H158" s="31"/>
      <c r="I158" s="31"/>
      <c r="J158" s="215"/>
      <c r="K158" s="212"/>
      <c r="L158" s="212"/>
      <c r="M158" s="212"/>
      <c r="N158" s="212"/>
      <c r="O158" s="212"/>
      <c r="P158" s="212"/>
      <c r="Q158" s="212"/>
      <c r="R158" s="212"/>
      <c r="S158" s="212"/>
      <c r="T158" s="212"/>
      <c r="U158" s="212"/>
      <c r="V158" s="212"/>
      <c r="W158" s="212"/>
      <c r="X158" s="212"/>
      <c r="Y158" s="212"/>
      <c r="Z158" s="212"/>
      <c r="AA158" s="212"/>
      <c r="AB158" s="212"/>
      <c r="AC158" s="212"/>
      <c r="AD158" s="212"/>
      <c r="AE158" s="212"/>
      <c r="AF158" s="212"/>
      <c r="AG158" s="212"/>
      <c r="AH158" s="212"/>
      <c r="AI158" s="212"/>
      <c r="AJ158" s="212"/>
      <c r="AK158" s="212"/>
      <c r="AL158" s="212"/>
      <c r="AM158" s="212"/>
      <c r="AN158" s="212"/>
      <c r="AO158" s="212"/>
      <c r="AP158" s="212"/>
      <c r="AQ158" s="212"/>
      <c r="AR158" s="212"/>
      <c r="AT158" s="31"/>
      <c r="AU158" s="31"/>
      <c r="AV158" s="32"/>
      <c r="AW158" s="33"/>
      <c r="AX158" s="31"/>
      <c r="AY158" s="31"/>
      <c r="AZ158" s="31"/>
      <c r="BA158" s="31"/>
    </row>
    <row r="159" spans="1:53" ht="12.75" customHeight="1" x14ac:dyDescent="0.3">
      <c r="A159" s="13" t="s">
        <v>0</v>
      </c>
      <c r="B159" s="69"/>
      <c r="D159" s="31"/>
      <c r="E159" s="32"/>
      <c r="F159" s="33"/>
      <c r="G159" s="31"/>
      <c r="H159" s="31"/>
      <c r="I159" s="31"/>
      <c r="J159" s="215"/>
      <c r="K159" s="212"/>
      <c r="L159" s="717" t="s">
        <v>1096</v>
      </c>
      <c r="M159" s="717"/>
      <c r="N159" s="717"/>
      <c r="O159" s="717"/>
      <c r="P159" s="717"/>
      <c r="Q159" s="717"/>
      <c r="R159" s="717"/>
      <c r="S159" s="717"/>
      <c r="T159" s="717"/>
      <c r="U159" s="717"/>
      <c r="V159" s="717"/>
      <c r="W159" s="717"/>
      <c r="X159" s="717"/>
      <c r="Y159" s="717"/>
      <c r="Z159" s="717"/>
      <c r="AA159" s="717"/>
      <c r="AB159" s="717"/>
      <c r="AC159" s="717"/>
      <c r="AD159" s="717"/>
      <c r="AE159" s="717"/>
      <c r="AF159" s="717"/>
      <c r="AG159" s="717"/>
      <c r="AH159" s="717"/>
      <c r="AI159" s="717"/>
      <c r="AJ159" s="717"/>
      <c r="AK159" s="717"/>
      <c r="AL159" s="717"/>
      <c r="AM159" s="717"/>
      <c r="AN159" s="717"/>
      <c r="AO159" s="717"/>
      <c r="AP159" s="717"/>
      <c r="AQ159" s="717"/>
      <c r="AR159" s="717"/>
      <c r="AT159" s="31"/>
      <c r="AU159" s="31"/>
      <c r="AV159" s="34"/>
      <c r="AW159" s="31"/>
      <c r="AX159" s="31"/>
      <c r="AY159" s="31"/>
      <c r="AZ159" s="31"/>
      <c r="BA159" s="31"/>
    </row>
    <row r="160" spans="1:53" ht="4.5" customHeight="1" x14ac:dyDescent="0.3">
      <c r="A160" s="13"/>
      <c r="B160" s="69"/>
      <c r="D160" s="31"/>
      <c r="E160" s="32"/>
      <c r="F160" s="33"/>
      <c r="G160" s="31"/>
      <c r="H160" s="31"/>
      <c r="I160" s="31"/>
      <c r="J160" s="215"/>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T160" s="31"/>
      <c r="AU160" s="31"/>
      <c r="AV160" s="32"/>
      <c r="AW160" s="33"/>
      <c r="AX160" s="31"/>
      <c r="AY160" s="31"/>
      <c r="AZ160" s="31"/>
      <c r="BA160" s="31"/>
    </row>
    <row r="161" spans="1:54" ht="38.25" customHeight="1" x14ac:dyDescent="0.3">
      <c r="A161" s="13" t="s">
        <v>1</v>
      </c>
      <c r="B161" s="69"/>
      <c r="D161" s="31"/>
      <c r="E161" s="34"/>
      <c r="F161" s="31"/>
      <c r="G161" s="31"/>
      <c r="H161" s="31"/>
      <c r="I161" s="31"/>
      <c r="J161" s="215"/>
      <c r="K161" s="212"/>
      <c r="L161" s="717" t="s">
        <v>1098</v>
      </c>
      <c r="M161" s="717"/>
      <c r="N161" s="717"/>
      <c r="O161" s="717"/>
      <c r="P161" s="717"/>
      <c r="Q161" s="717"/>
      <c r="R161" s="717"/>
      <c r="S161" s="717"/>
      <c r="T161" s="717"/>
      <c r="U161" s="717"/>
      <c r="V161" s="717"/>
      <c r="W161" s="717"/>
      <c r="X161" s="717"/>
      <c r="Y161" s="717"/>
      <c r="Z161" s="717"/>
      <c r="AA161" s="717"/>
      <c r="AB161" s="717"/>
      <c r="AC161" s="717"/>
      <c r="AD161" s="717"/>
      <c r="AE161" s="717"/>
      <c r="AF161" s="717"/>
      <c r="AG161" s="717"/>
      <c r="AH161" s="717"/>
      <c r="AI161" s="717"/>
      <c r="AJ161" s="717"/>
      <c r="AK161" s="717"/>
      <c r="AL161" s="717"/>
      <c r="AM161" s="717"/>
      <c r="AN161" s="717"/>
      <c r="AO161" s="717"/>
      <c r="AP161" s="717"/>
      <c r="AQ161" s="717"/>
      <c r="AR161" s="717"/>
      <c r="AT161" s="31"/>
      <c r="AU161" s="31"/>
      <c r="AV161" s="32"/>
      <c r="AW161" s="33"/>
      <c r="AX161" s="31"/>
      <c r="AY161" s="31"/>
      <c r="AZ161" s="31"/>
      <c r="BA161" s="31"/>
    </row>
    <row r="162" spans="1:54" ht="4.5" customHeight="1" x14ac:dyDescent="0.3">
      <c r="A162" s="13"/>
      <c r="B162" s="69"/>
      <c r="D162" s="31"/>
      <c r="E162" s="34"/>
      <c r="F162" s="31"/>
      <c r="G162" s="31"/>
      <c r="H162" s="31"/>
      <c r="I162" s="31"/>
      <c r="J162" s="215"/>
      <c r="K162" s="212"/>
      <c r="L162" s="213"/>
      <c r="M162" s="213"/>
      <c r="N162" s="213"/>
      <c r="O162" s="213"/>
      <c r="P162" s="213"/>
      <c r="Q162" s="213"/>
      <c r="R162" s="213"/>
      <c r="S162" s="213"/>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213"/>
      <c r="AQ162" s="213"/>
      <c r="AR162" s="212"/>
      <c r="AT162" s="31"/>
      <c r="AU162" s="31"/>
      <c r="AV162" s="34"/>
      <c r="AW162" s="31"/>
      <c r="AX162" s="31"/>
      <c r="AY162" s="31"/>
      <c r="AZ162" s="31"/>
      <c r="BA162" s="31"/>
    </row>
    <row r="163" spans="1:54" ht="15.75" customHeight="1" x14ac:dyDescent="0.3">
      <c r="A163" s="13" t="s">
        <v>2</v>
      </c>
      <c r="B163" s="69"/>
      <c r="D163" s="31"/>
      <c r="E163" s="32"/>
      <c r="F163" s="33"/>
      <c r="G163" s="31"/>
      <c r="H163" s="31"/>
      <c r="I163" s="31"/>
      <c r="J163" s="215"/>
      <c r="K163" s="212"/>
      <c r="L163" s="717" t="s">
        <v>1101</v>
      </c>
      <c r="M163" s="717"/>
      <c r="N163" s="717"/>
      <c r="O163" s="717"/>
      <c r="P163" s="717"/>
      <c r="Q163" s="717"/>
      <c r="R163" s="717"/>
      <c r="S163" s="717"/>
      <c r="T163" s="717"/>
      <c r="U163" s="717"/>
      <c r="V163" s="717"/>
      <c r="W163" s="717"/>
      <c r="X163" s="717"/>
      <c r="Y163" s="717"/>
      <c r="Z163" s="717"/>
      <c r="AA163" s="717"/>
      <c r="AB163" s="717"/>
      <c r="AC163" s="717"/>
      <c r="AD163" s="717"/>
      <c r="AE163" s="717"/>
      <c r="AF163" s="717"/>
      <c r="AG163" s="717"/>
      <c r="AH163" s="717"/>
      <c r="AI163" s="717"/>
      <c r="AJ163" s="717"/>
      <c r="AK163" s="717"/>
      <c r="AL163" s="717"/>
      <c r="AM163" s="717"/>
      <c r="AN163" s="717"/>
      <c r="AO163" s="717"/>
      <c r="AP163" s="717"/>
      <c r="AQ163" s="717"/>
      <c r="AR163" s="717"/>
      <c r="AT163" s="31"/>
      <c r="AU163" s="31"/>
      <c r="AV163" s="34"/>
      <c r="AW163" s="31"/>
      <c r="AX163" s="31"/>
      <c r="AY163" s="31"/>
      <c r="AZ163" s="31"/>
      <c r="BA163" s="31"/>
    </row>
    <row r="164" spans="1:54" ht="4.5" customHeight="1" x14ac:dyDescent="0.3">
      <c r="A164" s="13"/>
      <c r="B164" s="69"/>
      <c r="E164" s="35"/>
      <c r="J164" s="214"/>
      <c r="K164" s="212"/>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2"/>
      <c r="AT164" s="31"/>
      <c r="AU164" s="31"/>
      <c r="AV164" s="32"/>
      <c r="AW164" s="33"/>
      <c r="AX164" s="31"/>
      <c r="AY164" s="31"/>
      <c r="AZ164" s="31"/>
      <c r="BA164" s="31"/>
    </row>
    <row r="165" spans="1:54" x14ac:dyDescent="0.3">
      <c r="A165" s="13" t="s">
        <v>3</v>
      </c>
      <c r="B165" s="69"/>
      <c r="E165" s="11"/>
      <c r="F165" s="3"/>
      <c r="J165" s="214"/>
      <c r="K165" s="212"/>
      <c r="L165" s="727" t="s">
        <v>1099</v>
      </c>
      <c r="M165" s="727"/>
      <c r="N165" s="727"/>
      <c r="O165" s="727"/>
      <c r="P165" s="727"/>
      <c r="Q165" s="727"/>
      <c r="R165" s="727"/>
      <c r="S165" s="727"/>
      <c r="T165" s="727"/>
      <c r="U165" s="727"/>
      <c r="V165" s="727"/>
      <c r="W165" s="727"/>
      <c r="X165" s="727"/>
      <c r="Y165" s="727"/>
      <c r="Z165" s="727"/>
      <c r="AA165" s="727"/>
      <c r="AB165" s="727"/>
      <c r="AC165" s="727"/>
      <c r="AD165" s="727"/>
      <c r="AE165" s="727"/>
      <c r="AF165" s="727"/>
      <c r="AG165" s="727"/>
      <c r="AH165" s="727"/>
      <c r="AI165" s="727"/>
      <c r="AJ165" s="727"/>
      <c r="AK165" s="727"/>
      <c r="AL165" s="727"/>
      <c r="AM165" s="727"/>
      <c r="AN165" s="727"/>
      <c r="AO165" s="727"/>
      <c r="AP165" s="727"/>
      <c r="AQ165" s="727"/>
      <c r="AR165" s="727"/>
      <c r="AT165" s="1"/>
      <c r="AV165" s="35"/>
    </row>
    <row r="166" spans="1:54" ht="4.5" customHeight="1" x14ac:dyDescent="0.3">
      <c r="A166" s="13"/>
      <c r="B166" s="69"/>
      <c r="E166" s="11"/>
      <c r="J166" s="214"/>
      <c r="K166" s="212"/>
      <c r="L166" s="212"/>
      <c r="M166" s="212"/>
      <c r="N166" s="212"/>
      <c r="O166" s="212"/>
      <c r="P166" s="212"/>
      <c r="Q166" s="212"/>
      <c r="R166" s="212"/>
      <c r="S166" s="212"/>
      <c r="T166" s="212"/>
      <c r="U166" s="212"/>
      <c r="V166" s="212"/>
      <c r="W166" s="212"/>
      <c r="X166" s="212"/>
      <c r="Y166" s="212"/>
      <c r="Z166" s="212"/>
      <c r="AA166" s="212"/>
      <c r="AB166" s="212"/>
      <c r="AC166" s="212"/>
      <c r="AD166" s="212"/>
      <c r="AE166" s="212"/>
      <c r="AF166" s="212"/>
      <c r="AG166" s="212"/>
      <c r="AH166" s="212"/>
      <c r="AI166" s="212"/>
      <c r="AJ166" s="212"/>
      <c r="AK166" s="212"/>
      <c r="AL166" s="212"/>
      <c r="AM166" s="212"/>
      <c r="AN166" s="212"/>
      <c r="AO166" s="212"/>
      <c r="AP166" s="212"/>
      <c r="AQ166" s="212"/>
      <c r="AR166" s="212"/>
      <c r="AT166" s="1"/>
      <c r="AV166" s="11"/>
      <c r="AW166" s="3"/>
    </row>
    <row r="167" spans="1:54" x14ac:dyDescent="0.3">
      <c r="A167" s="13" t="s">
        <v>4</v>
      </c>
      <c r="B167" s="69"/>
      <c r="D167" s="39"/>
      <c r="E167" s="44"/>
      <c r="F167" s="39"/>
      <c r="G167" s="39"/>
      <c r="H167" s="39"/>
      <c r="I167" s="39"/>
      <c r="J167" s="218"/>
      <c r="K167" s="219"/>
      <c r="L167" s="727" t="s">
        <v>1100</v>
      </c>
      <c r="M167" s="727"/>
      <c r="N167" s="727"/>
      <c r="O167" s="727"/>
      <c r="P167" s="727"/>
      <c r="Q167" s="727"/>
      <c r="R167" s="727"/>
      <c r="S167" s="727"/>
      <c r="T167" s="727"/>
      <c r="U167" s="727"/>
      <c r="V167" s="727"/>
      <c r="W167" s="727"/>
      <c r="X167" s="727"/>
      <c r="Y167" s="727"/>
      <c r="Z167" s="727"/>
      <c r="AA167" s="727"/>
      <c r="AB167" s="727"/>
      <c r="AC167" s="727"/>
      <c r="AD167" s="727"/>
      <c r="AE167" s="727"/>
      <c r="AF167" s="727"/>
      <c r="AG167" s="727"/>
      <c r="AH167" s="727"/>
      <c r="AI167" s="727"/>
      <c r="AJ167" s="727"/>
      <c r="AK167" s="727"/>
      <c r="AL167" s="727"/>
      <c r="AM167" s="727"/>
      <c r="AN167" s="727"/>
      <c r="AO167" s="727"/>
      <c r="AP167" s="727"/>
      <c r="AQ167" s="727"/>
      <c r="AR167" s="727"/>
      <c r="AT167" s="1"/>
      <c r="AV167" s="11"/>
    </row>
    <row r="168" spans="1:54" ht="4.5" customHeight="1" x14ac:dyDescent="0.3">
      <c r="A168" s="13"/>
      <c r="B168" s="69"/>
      <c r="D168" s="31"/>
      <c r="E168" s="32"/>
      <c r="F168" s="33"/>
      <c r="G168" s="31"/>
      <c r="H168" s="31"/>
      <c r="I168" s="31"/>
      <c r="J168" s="215"/>
      <c r="K168" s="216"/>
      <c r="L168" s="216"/>
      <c r="M168" s="216"/>
      <c r="N168" s="216"/>
      <c r="O168" s="216"/>
      <c r="P168" s="216"/>
      <c r="Q168" s="216"/>
      <c r="R168" s="216"/>
      <c r="S168" s="216"/>
      <c r="T168" s="216"/>
      <c r="U168" s="216"/>
      <c r="V168" s="216"/>
      <c r="W168" s="216"/>
      <c r="X168" s="216"/>
      <c r="Y168" s="216"/>
      <c r="Z168" s="216"/>
      <c r="AA168" s="216"/>
      <c r="AB168" s="216"/>
      <c r="AC168" s="216"/>
      <c r="AD168" s="216"/>
      <c r="AE168" s="216"/>
      <c r="AF168" s="216"/>
      <c r="AG168" s="216"/>
      <c r="AH168" s="216"/>
      <c r="AI168" s="216"/>
      <c r="AJ168" s="216"/>
      <c r="AK168" s="216"/>
      <c r="AL168" s="216"/>
      <c r="AM168" s="216"/>
      <c r="AN168" s="216"/>
      <c r="AO168" s="216"/>
      <c r="AP168" s="216"/>
      <c r="AQ168" s="216"/>
      <c r="AR168" s="216"/>
      <c r="AT168" s="39"/>
      <c r="AU168" s="39"/>
      <c r="AV168" s="44"/>
      <c r="AW168" s="39"/>
      <c r="AX168" s="39"/>
      <c r="AY168" s="39"/>
      <c r="AZ168" s="39"/>
      <c r="BA168" s="39"/>
      <c r="BB168" s="39"/>
    </row>
    <row r="169" spans="1:54" x14ac:dyDescent="0.3">
      <c r="A169" s="13"/>
      <c r="B169" s="69"/>
      <c r="E169" s="11"/>
      <c r="F169" s="13" t="s">
        <v>700</v>
      </c>
      <c r="J169" s="706" t="str">
        <f>IF(calculations!M9,"describe corrective action proposed to correct any Red Flag or Yellow Flag ranking",IF(calculations!N9,"describe corrective action proposed to correct any Red Flag or Yellow Flag ranking",""))</f>
        <v/>
      </c>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7"/>
      <c r="AJ169" s="707"/>
      <c r="AK169" s="707"/>
      <c r="AL169" s="707"/>
      <c r="AM169" s="707"/>
      <c r="AN169" s="707"/>
      <c r="AO169" s="707"/>
      <c r="AP169" s="707"/>
      <c r="AQ169" s="707"/>
      <c r="AR169" s="708"/>
      <c r="AT169" s="39"/>
      <c r="AU169" s="39"/>
      <c r="AV169" s="44"/>
      <c r="AW169" s="39"/>
      <c r="AX169" s="39"/>
      <c r="AY169" s="39"/>
      <c r="AZ169" s="39"/>
      <c r="BA169" s="39"/>
      <c r="BB169" s="39"/>
    </row>
    <row r="170" spans="1:54" ht="4.5" customHeight="1" x14ac:dyDescent="0.3">
      <c r="A170" s="13"/>
      <c r="B170" s="69"/>
      <c r="E170" s="11"/>
      <c r="G170" s="38"/>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row>
    <row r="171" spans="1:54" ht="37.5" customHeight="1" x14ac:dyDescent="0.3">
      <c r="A171" s="13"/>
      <c r="B171" s="69"/>
      <c r="E171" s="11"/>
      <c r="F171" s="55" t="str">
        <f>IF(J171&gt;"","REC",IF(calculations!M9,"REC",IF(calculations!N9,"REC","")))</f>
        <v/>
      </c>
      <c r="G171" s="38"/>
      <c r="J171" s="724" t="str">
        <f>IF(calculations!M9,Rec!E13,IF(calculations!N9,Rec!E14,""))</f>
        <v/>
      </c>
      <c r="K171" s="725"/>
      <c r="L171" s="725"/>
      <c r="M171" s="725"/>
      <c r="N171" s="725"/>
      <c r="O171" s="725"/>
      <c r="P171" s="725"/>
      <c r="Q171" s="725"/>
      <c r="R171" s="725"/>
      <c r="S171" s="725"/>
      <c r="T171" s="725"/>
      <c r="U171" s="725"/>
      <c r="V171" s="725"/>
      <c r="W171" s="725"/>
      <c r="X171" s="725"/>
      <c r="Y171" s="725"/>
      <c r="Z171" s="725"/>
      <c r="AA171" s="725"/>
      <c r="AB171" s="725"/>
      <c r="AC171" s="725"/>
      <c r="AD171" s="725"/>
      <c r="AE171" s="725"/>
      <c r="AF171" s="725"/>
      <c r="AG171" s="725"/>
      <c r="AH171" s="725"/>
      <c r="AI171" s="725"/>
      <c r="AJ171" s="725"/>
      <c r="AK171" s="725"/>
      <c r="AL171" s="725"/>
      <c r="AM171" s="725"/>
      <c r="AN171" s="725"/>
      <c r="AO171" s="725"/>
      <c r="AP171" s="725"/>
      <c r="AQ171" s="725"/>
      <c r="AR171" s="726"/>
    </row>
    <row r="172" spans="1:54" ht="12.75" customHeight="1" x14ac:dyDescent="0.3">
      <c r="A172" s="13"/>
      <c r="B172" s="69"/>
      <c r="E172" s="11"/>
      <c r="F172" s="37"/>
    </row>
    <row r="173" spans="1:54" ht="14.15" x14ac:dyDescent="0.35">
      <c r="A173" s="232" t="s">
        <v>859</v>
      </c>
      <c r="B173" s="69"/>
      <c r="D173" s="30" t="s">
        <v>741</v>
      </c>
      <c r="E173" s="11"/>
    </row>
    <row r="174" spans="1:54" ht="4.5" customHeight="1" x14ac:dyDescent="0.3">
      <c r="A174" s="13"/>
      <c r="B174" s="69"/>
      <c r="E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row>
    <row r="175" spans="1:54" ht="13.5" customHeight="1" x14ac:dyDescent="0.3">
      <c r="A175" s="13" t="s">
        <v>6</v>
      </c>
      <c r="B175" s="69"/>
      <c r="D175" s="31"/>
      <c r="E175" s="32"/>
      <c r="F175" s="33"/>
      <c r="G175" s="31"/>
      <c r="H175" s="31"/>
      <c r="I175" s="31"/>
      <c r="J175" s="215"/>
      <c r="K175" s="212"/>
      <c r="L175" s="717" t="s">
        <v>1097</v>
      </c>
      <c r="M175" s="717"/>
      <c r="N175" s="717"/>
      <c r="O175" s="717"/>
      <c r="P175" s="717"/>
      <c r="Q175" s="717"/>
      <c r="R175" s="717"/>
      <c r="S175" s="717"/>
      <c r="T175" s="717"/>
      <c r="U175" s="717"/>
      <c r="V175" s="717"/>
      <c r="W175" s="717"/>
      <c r="X175" s="717"/>
      <c r="Y175" s="717"/>
      <c r="Z175" s="717"/>
      <c r="AA175" s="717"/>
      <c r="AB175" s="717"/>
      <c r="AC175" s="717"/>
      <c r="AD175" s="717"/>
      <c r="AE175" s="717"/>
      <c r="AF175" s="717"/>
      <c r="AG175" s="717"/>
      <c r="AH175" s="717"/>
      <c r="AI175" s="717"/>
      <c r="AJ175" s="717"/>
      <c r="AK175" s="717"/>
      <c r="AL175" s="717"/>
      <c r="AM175" s="717"/>
      <c r="AN175" s="717"/>
      <c r="AO175" s="717"/>
      <c r="AP175" s="717"/>
      <c r="AQ175" s="717"/>
      <c r="AR175" s="717"/>
    </row>
    <row r="176" spans="1:54" ht="4.5" customHeight="1" x14ac:dyDescent="0.3">
      <c r="A176" s="13"/>
      <c r="B176" s="69"/>
      <c r="D176" s="31"/>
      <c r="E176" s="34"/>
      <c r="F176" s="31"/>
      <c r="G176" s="31"/>
      <c r="H176" s="31"/>
      <c r="I176" s="31"/>
      <c r="J176" s="215"/>
      <c r="K176" s="212"/>
      <c r="L176" s="212"/>
      <c r="M176" s="212"/>
      <c r="N176" s="212"/>
      <c r="O176" s="212"/>
      <c r="P176" s="212"/>
      <c r="Q176" s="212"/>
      <c r="R176" s="212"/>
      <c r="S176" s="212"/>
      <c r="T176" s="212"/>
      <c r="U176" s="212"/>
      <c r="V176" s="212"/>
      <c r="W176" s="212"/>
      <c r="X176" s="212"/>
      <c r="Y176" s="212"/>
      <c r="Z176" s="212"/>
      <c r="AA176" s="212"/>
      <c r="AB176" s="212"/>
      <c r="AC176" s="212"/>
      <c r="AD176" s="212"/>
      <c r="AE176" s="212"/>
      <c r="AF176" s="212"/>
      <c r="AG176" s="212"/>
      <c r="AH176" s="212"/>
      <c r="AI176" s="212"/>
      <c r="AJ176" s="212"/>
      <c r="AK176" s="212"/>
      <c r="AL176" s="212"/>
      <c r="AM176" s="212"/>
      <c r="AN176" s="212"/>
      <c r="AO176" s="212"/>
      <c r="AP176" s="212"/>
      <c r="AQ176" s="212"/>
      <c r="AR176" s="212"/>
    </row>
    <row r="177" spans="1:47" ht="13.5" customHeight="1" x14ac:dyDescent="0.3">
      <c r="A177" s="13" t="s">
        <v>7</v>
      </c>
      <c r="B177" s="69"/>
      <c r="D177" s="31"/>
      <c r="E177" s="32"/>
      <c r="F177" s="33"/>
      <c r="G177" s="31"/>
      <c r="H177" s="31"/>
      <c r="I177" s="31"/>
      <c r="J177" s="215"/>
      <c r="K177" s="212"/>
      <c r="L177" s="717" t="s">
        <v>1102</v>
      </c>
      <c r="M177" s="717"/>
      <c r="N177" s="717"/>
      <c r="O177" s="717"/>
      <c r="P177" s="717"/>
      <c r="Q177" s="717"/>
      <c r="R177" s="717"/>
      <c r="S177" s="717"/>
      <c r="T177" s="717"/>
      <c r="U177" s="717"/>
      <c r="V177" s="717"/>
      <c r="W177" s="717"/>
      <c r="X177" s="717"/>
      <c r="Y177" s="717"/>
      <c r="Z177" s="717"/>
      <c r="AA177" s="717"/>
      <c r="AB177" s="717"/>
      <c r="AC177" s="717"/>
      <c r="AD177" s="717"/>
      <c r="AE177" s="717"/>
      <c r="AF177" s="717"/>
      <c r="AG177" s="717"/>
      <c r="AH177" s="717"/>
      <c r="AI177" s="717"/>
      <c r="AJ177" s="717"/>
      <c r="AK177" s="717"/>
      <c r="AL177" s="717"/>
      <c r="AM177" s="717"/>
      <c r="AN177" s="717"/>
      <c r="AO177" s="717"/>
      <c r="AP177" s="717"/>
      <c r="AQ177" s="717"/>
      <c r="AR177" s="717"/>
    </row>
    <row r="178" spans="1:47" ht="4.5" customHeight="1" x14ac:dyDescent="0.3">
      <c r="A178" s="13"/>
      <c r="B178" s="69"/>
      <c r="D178" s="31"/>
      <c r="E178" s="32"/>
      <c r="F178" s="33"/>
      <c r="G178" s="31"/>
      <c r="H178" s="31"/>
      <c r="I178" s="31"/>
      <c r="J178" s="215"/>
      <c r="K178" s="212"/>
      <c r="L178" s="212"/>
      <c r="M178" s="212"/>
      <c r="N178" s="212"/>
      <c r="O178" s="212"/>
      <c r="P178" s="212"/>
      <c r="Q178" s="212"/>
      <c r="R178" s="212"/>
      <c r="S178" s="212"/>
      <c r="T178" s="212"/>
      <c r="U178" s="212"/>
      <c r="V178" s="212"/>
      <c r="W178" s="212"/>
      <c r="X178" s="212"/>
      <c r="Y178" s="212"/>
      <c r="Z178" s="212"/>
      <c r="AA178" s="212"/>
      <c r="AB178" s="212"/>
      <c r="AC178" s="212"/>
      <c r="AD178" s="212"/>
      <c r="AE178" s="212"/>
      <c r="AF178" s="212"/>
      <c r="AG178" s="212"/>
      <c r="AH178" s="212"/>
      <c r="AI178" s="212"/>
      <c r="AJ178" s="212"/>
      <c r="AK178" s="212"/>
      <c r="AL178" s="212"/>
      <c r="AM178" s="212"/>
      <c r="AN178" s="212"/>
      <c r="AO178" s="212"/>
      <c r="AP178" s="212"/>
      <c r="AQ178" s="212"/>
      <c r="AR178" s="212"/>
    </row>
    <row r="179" spans="1:47" ht="48.75" customHeight="1" x14ac:dyDescent="0.3">
      <c r="A179" s="13" t="s">
        <v>8</v>
      </c>
      <c r="B179" s="69"/>
      <c r="D179" s="31"/>
      <c r="E179" s="34"/>
      <c r="F179" s="31"/>
      <c r="G179" s="31"/>
      <c r="H179" s="31"/>
      <c r="I179" s="31"/>
      <c r="J179" s="215"/>
      <c r="K179" s="212"/>
      <c r="L179" s="717" t="s">
        <v>1103</v>
      </c>
      <c r="M179" s="717"/>
      <c r="N179" s="717"/>
      <c r="O179" s="717"/>
      <c r="P179" s="717"/>
      <c r="Q179" s="717"/>
      <c r="R179" s="717"/>
      <c r="S179" s="717"/>
      <c r="T179" s="717"/>
      <c r="U179" s="717"/>
      <c r="V179" s="717"/>
      <c r="W179" s="717"/>
      <c r="X179" s="717"/>
      <c r="Y179" s="717"/>
      <c r="Z179" s="717"/>
      <c r="AA179" s="717"/>
      <c r="AB179" s="717"/>
      <c r="AC179" s="717"/>
      <c r="AD179" s="717"/>
      <c r="AE179" s="717"/>
      <c r="AF179" s="717"/>
      <c r="AG179" s="717"/>
      <c r="AH179" s="717"/>
      <c r="AI179" s="717"/>
      <c r="AJ179" s="717"/>
      <c r="AK179" s="717"/>
      <c r="AL179" s="717"/>
      <c r="AM179" s="717"/>
      <c r="AN179" s="717"/>
      <c r="AO179" s="717"/>
      <c r="AP179" s="717"/>
      <c r="AQ179" s="717"/>
      <c r="AR179" s="717"/>
    </row>
    <row r="180" spans="1:47" ht="4.5" customHeight="1" x14ac:dyDescent="0.3">
      <c r="A180" s="13"/>
      <c r="B180" s="69"/>
      <c r="D180" s="31"/>
      <c r="E180" s="34"/>
      <c r="F180" s="31"/>
      <c r="G180" s="31"/>
      <c r="H180" s="31"/>
      <c r="I180" s="31"/>
      <c r="J180" s="215"/>
      <c r="K180" s="212"/>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row>
    <row r="181" spans="1:47" ht="39.75" customHeight="1" x14ac:dyDescent="0.3">
      <c r="A181" s="13" t="s">
        <v>9</v>
      </c>
      <c r="B181" s="69"/>
      <c r="D181" s="31"/>
      <c r="E181" s="32"/>
      <c r="F181" s="33"/>
      <c r="G181" s="31"/>
      <c r="H181" s="31"/>
      <c r="I181" s="31"/>
      <c r="J181" s="215"/>
      <c r="K181" s="212"/>
      <c r="L181" s="717" t="s">
        <v>1104</v>
      </c>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7"/>
      <c r="AK181" s="717"/>
      <c r="AL181" s="717"/>
      <c r="AM181" s="717"/>
      <c r="AN181" s="717"/>
      <c r="AO181" s="717"/>
      <c r="AP181" s="717"/>
      <c r="AQ181" s="717"/>
      <c r="AR181" s="717"/>
      <c r="AU181" s="78"/>
    </row>
    <row r="182" spans="1:47" ht="4.5" customHeight="1" x14ac:dyDescent="0.3">
      <c r="A182" s="13"/>
      <c r="B182" s="69"/>
      <c r="E182" s="35"/>
      <c r="J182" s="214"/>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2"/>
      <c r="AN182" s="212"/>
      <c r="AO182" s="212"/>
      <c r="AP182" s="212"/>
      <c r="AQ182" s="212"/>
      <c r="AR182" s="212"/>
    </row>
    <row r="183" spans="1:47" ht="26.25" customHeight="1" x14ac:dyDescent="0.3">
      <c r="A183" s="13" t="s">
        <v>10</v>
      </c>
      <c r="B183" s="69"/>
      <c r="E183" s="11"/>
      <c r="F183" s="3"/>
      <c r="J183" s="214"/>
      <c r="K183" s="212"/>
      <c r="L183" s="717" t="s">
        <v>1105</v>
      </c>
      <c r="M183" s="717"/>
      <c r="N183" s="717"/>
      <c r="O183" s="717"/>
      <c r="P183" s="717"/>
      <c r="Q183" s="717"/>
      <c r="R183" s="717"/>
      <c r="S183" s="717"/>
      <c r="T183" s="717"/>
      <c r="U183" s="717"/>
      <c r="V183" s="717"/>
      <c r="W183" s="717"/>
      <c r="X183" s="717"/>
      <c r="Y183" s="717"/>
      <c r="Z183" s="717"/>
      <c r="AA183" s="717"/>
      <c r="AB183" s="717"/>
      <c r="AC183" s="717"/>
      <c r="AD183" s="717"/>
      <c r="AE183" s="717"/>
      <c r="AF183" s="717"/>
      <c r="AG183" s="717"/>
      <c r="AH183" s="717"/>
      <c r="AI183" s="717"/>
      <c r="AJ183" s="717"/>
      <c r="AK183" s="717"/>
      <c r="AL183" s="717"/>
      <c r="AM183" s="717"/>
      <c r="AN183" s="717"/>
      <c r="AO183" s="717"/>
      <c r="AP183" s="717"/>
      <c r="AQ183" s="717"/>
      <c r="AR183" s="717"/>
    </row>
    <row r="184" spans="1:47" ht="4.5" customHeight="1" x14ac:dyDescent="0.3">
      <c r="A184" s="13"/>
      <c r="B184" s="69"/>
      <c r="E184" s="11"/>
      <c r="J184" s="214"/>
      <c r="K184" s="212"/>
      <c r="L184" s="212"/>
      <c r="M184" s="212"/>
      <c r="N184" s="212"/>
      <c r="O184" s="212"/>
      <c r="P184" s="212"/>
      <c r="Q184" s="212"/>
      <c r="R184" s="212"/>
      <c r="S184" s="212"/>
      <c r="T184" s="212"/>
      <c r="U184" s="212"/>
      <c r="V184" s="212"/>
      <c r="W184" s="212"/>
      <c r="X184" s="212"/>
      <c r="Y184" s="212"/>
      <c r="Z184" s="212"/>
      <c r="AA184" s="212"/>
      <c r="AB184" s="212"/>
      <c r="AC184" s="212"/>
      <c r="AD184" s="212"/>
      <c r="AE184" s="212"/>
      <c r="AF184" s="212"/>
      <c r="AG184" s="212"/>
      <c r="AH184" s="212"/>
      <c r="AI184" s="212"/>
      <c r="AJ184" s="212"/>
      <c r="AK184" s="212"/>
      <c r="AL184" s="212"/>
      <c r="AM184" s="212"/>
      <c r="AN184" s="212"/>
      <c r="AO184" s="212"/>
      <c r="AP184" s="212"/>
      <c r="AQ184" s="212"/>
      <c r="AR184" s="212"/>
    </row>
    <row r="185" spans="1:47" ht="39.75" customHeight="1" x14ac:dyDescent="0.3">
      <c r="A185" s="13" t="s">
        <v>287</v>
      </c>
      <c r="B185" s="69"/>
      <c r="D185" s="39"/>
      <c r="E185" s="44"/>
      <c r="F185" s="39"/>
      <c r="G185" s="39"/>
      <c r="H185" s="39"/>
      <c r="I185" s="39"/>
      <c r="J185" s="218"/>
      <c r="K185" s="219"/>
      <c r="L185" s="717" t="s">
        <v>1106</v>
      </c>
      <c r="M185" s="717"/>
      <c r="N185" s="717"/>
      <c r="O185" s="717"/>
      <c r="P185" s="717"/>
      <c r="Q185" s="717"/>
      <c r="R185" s="717"/>
      <c r="S185" s="717"/>
      <c r="T185" s="717"/>
      <c r="U185" s="717"/>
      <c r="V185" s="717"/>
      <c r="W185" s="717"/>
      <c r="X185" s="717"/>
      <c r="Y185" s="717"/>
      <c r="Z185" s="717"/>
      <c r="AA185" s="717"/>
      <c r="AB185" s="717"/>
      <c r="AC185" s="717"/>
      <c r="AD185" s="717"/>
      <c r="AE185" s="717"/>
      <c r="AF185" s="717"/>
      <c r="AG185" s="717"/>
      <c r="AH185" s="717"/>
      <c r="AI185" s="717"/>
      <c r="AJ185" s="717"/>
      <c r="AK185" s="717"/>
      <c r="AL185" s="717"/>
      <c r="AM185" s="717"/>
      <c r="AN185" s="717"/>
      <c r="AO185" s="717"/>
      <c r="AP185" s="717"/>
      <c r="AQ185" s="717"/>
      <c r="AR185" s="717"/>
    </row>
    <row r="186" spans="1:47" ht="4.5" customHeight="1" x14ac:dyDescent="0.3">
      <c r="A186" s="13"/>
      <c r="B186" s="69"/>
      <c r="D186" s="31"/>
      <c r="E186" s="32"/>
      <c r="F186" s="33"/>
      <c r="G186" s="31"/>
      <c r="H186" s="31"/>
      <c r="I186" s="31"/>
      <c r="J186" s="215"/>
      <c r="K186" s="216"/>
      <c r="L186" s="216"/>
      <c r="M186" s="216"/>
      <c r="N186" s="216"/>
      <c r="O186" s="216"/>
      <c r="P186" s="216"/>
      <c r="Q186" s="216"/>
      <c r="R186" s="216"/>
      <c r="S186" s="216"/>
      <c r="T186" s="216"/>
      <c r="U186" s="216"/>
      <c r="V186" s="216"/>
      <c r="W186" s="216"/>
      <c r="X186" s="216"/>
      <c r="Y186" s="216"/>
      <c r="Z186" s="216"/>
      <c r="AA186" s="216"/>
      <c r="AB186" s="216"/>
      <c r="AC186" s="216"/>
      <c r="AD186" s="216"/>
      <c r="AE186" s="216"/>
      <c r="AF186" s="216"/>
      <c r="AG186" s="216"/>
      <c r="AH186" s="216"/>
      <c r="AI186" s="216"/>
      <c r="AJ186" s="216"/>
      <c r="AK186" s="216"/>
      <c r="AL186" s="216"/>
      <c r="AM186" s="216"/>
      <c r="AN186" s="216"/>
      <c r="AO186" s="216"/>
      <c r="AP186" s="216"/>
      <c r="AQ186" s="216"/>
      <c r="AR186" s="216"/>
    </row>
    <row r="187" spans="1:47" x14ac:dyDescent="0.3">
      <c r="A187" s="13"/>
      <c r="B187" s="69"/>
      <c r="E187" s="11"/>
      <c r="F187" s="13" t="s">
        <v>700</v>
      </c>
      <c r="J187" s="706" t="str">
        <f>IF(calculations!M10,"describe corrective action proposed to correct any Red Flag or Yellow Flag ranking",IF(calculations!N10,"describe corrective action proposed to correct any Red Flag or Yellow Flag ranking",""))</f>
        <v/>
      </c>
      <c r="K187" s="707"/>
      <c r="L187" s="707"/>
      <c r="M187" s="707"/>
      <c r="N187" s="707"/>
      <c r="O187" s="707"/>
      <c r="P187" s="707"/>
      <c r="Q187" s="707"/>
      <c r="R187" s="707"/>
      <c r="S187" s="707"/>
      <c r="T187" s="707"/>
      <c r="U187" s="707"/>
      <c r="V187" s="707"/>
      <c r="W187" s="707"/>
      <c r="X187" s="707"/>
      <c r="Y187" s="707"/>
      <c r="Z187" s="707"/>
      <c r="AA187" s="707"/>
      <c r="AB187" s="707"/>
      <c r="AC187" s="707"/>
      <c r="AD187" s="707"/>
      <c r="AE187" s="707"/>
      <c r="AF187" s="707"/>
      <c r="AG187" s="707"/>
      <c r="AH187" s="707"/>
      <c r="AI187" s="707"/>
      <c r="AJ187" s="707"/>
      <c r="AK187" s="707"/>
      <c r="AL187" s="707"/>
      <c r="AM187" s="707"/>
      <c r="AN187" s="707"/>
      <c r="AO187" s="707"/>
      <c r="AP187" s="707"/>
      <c r="AQ187" s="707"/>
      <c r="AR187" s="708"/>
    </row>
    <row r="188" spans="1:47" ht="4.5" customHeight="1" x14ac:dyDescent="0.3">
      <c r="A188" s="13"/>
      <c r="B188" s="69"/>
      <c r="E188" s="11"/>
      <c r="G188" s="38"/>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row>
    <row r="189" spans="1:47" ht="39.75" customHeight="1" x14ac:dyDescent="0.3">
      <c r="A189" s="13"/>
      <c r="B189" s="69"/>
      <c r="E189" s="11"/>
      <c r="F189" s="55" t="str">
        <f>IF(J189&gt;"","REC",IF(calculations!M10,"REC",IF(calculations!N10,"REC","")))</f>
        <v/>
      </c>
      <c r="G189" s="38"/>
      <c r="J189" s="724" t="str">
        <f>IF(calculations!M10=TRUE,Rec!E15,IF(calculations!N10=TRUE,Rec!E16,""))</f>
        <v/>
      </c>
      <c r="K189" s="725"/>
      <c r="L189" s="725"/>
      <c r="M189" s="725"/>
      <c r="N189" s="725"/>
      <c r="O189" s="725"/>
      <c r="P189" s="725"/>
      <c r="Q189" s="725"/>
      <c r="R189" s="725"/>
      <c r="S189" s="725"/>
      <c r="T189" s="725"/>
      <c r="U189" s="725"/>
      <c r="V189" s="725"/>
      <c r="W189" s="725"/>
      <c r="X189" s="725"/>
      <c r="Y189" s="725"/>
      <c r="Z189" s="725"/>
      <c r="AA189" s="725"/>
      <c r="AB189" s="725"/>
      <c r="AC189" s="725"/>
      <c r="AD189" s="725"/>
      <c r="AE189" s="725"/>
      <c r="AF189" s="725"/>
      <c r="AG189" s="725"/>
      <c r="AH189" s="725"/>
      <c r="AI189" s="725"/>
      <c r="AJ189" s="725"/>
      <c r="AK189" s="725"/>
      <c r="AL189" s="725"/>
      <c r="AM189" s="725"/>
      <c r="AN189" s="725"/>
      <c r="AO189" s="725"/>
      <c r="AP189" s="725"/>
      <c r="AQ189" s="725"/>
      <c r="AR189" s="726"/>
    </row>
    <row r="190" spans="1:47" ht="12.75" customHeight="1" x14ac:dyDescent="0.3">
      <c r="A190" s="13"/>
      <c r="B190" s="69"/>
      <c r="E190" s="11"/>
      <c r="F190" s="37"/>
    </row>
    <row r="191" spans="1:47" ht="14.15" x14ac:dyDescent="0.35">
      <c r="A191" s="232" t="s">
        <v>1989</v>
      </c>
      <c r="B191" s="69"/>
      <c r="D191" s="30" t="s">
        <v>742</v>
      </c>
      <c r="E191" s="11"/>
    </row>
    <row r="192" spans="1:47" ht="4.5" customHeight="1" x14ac:dyDescent="0.3">
      <c r="A192" s="13"/>
      <c r="B192" s="69"/>
      <c r="E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row>
    <row r="193" spans="1:78" ht="13.5" customHeight="1" x14ac:dyDescent="0.3">
      <c r="A193" s="13" t="s">
        <v>288</v>
      </c>
      <c r="B193" s="69"/>
      <c r="D193" s="31"/>
      <c r="E193" s="32"/>
      <c r="F193" s="33"/>
      <c r="G193" s="31"/>
      <c r="H193" s="31"/>
      <c r="I193" s="31"/>
      <c r="J193" s="215"/>
      <c r="K193" s="212"/>
      <c r="L193" s="717" t="s">
        <v>1097</v>
      </c>
      <c r="M193" s="717"/>
      <c r="N193" s="717"/>
      <c r="O193" s="717"/>
      <c r="P193" s="717"/>
      <c r="Q193" s="717"/>
      <c r="R193" s="717"/>
      <c r="S193" s="717"/>
      <c r="T193" s="717"/>
      <c r="U193" s="717"/>
      <c r="V193" s="717"/>
      <c r="W193" s="717"/>
      <c r="X193" s="717"/>
      <c r="Y193" s="717"/>
      <c r="Z193" s="717"/>
      <c r="AA193" s="717"/>
      <c r="AB193" s="717"/>
      <c r="AC193" s="717"/>
      <c r="AD193" s="717"/>
      <c r="AE193" s="717"/>
      <c r="AF193" s="717"/>
      <c r="AG193" s="717"/>
      <c r="AH193" s="717"/>
      <c r="AI193" s="717"/>
      <c r="AJ193" s="717"/>
      <c r="AK193" s="717"/>
      <c r="AL193" s="717"/>
      <c r="AM193" s="717"/>
      <c r="AN193" s="717"/>
      <c r="AO193" s="717"/>
      <c r="AP193" s="717"/>
      <c r="AQ193" s="717"/>
      <c r="AR193" s="717"/>
    </row>
    <row r="194" spans="1:78" ht="4.5" customHeight="1" x14ac:dyDescent="0.3">
      <c r="A194" s="13"/>
      <c r="B194" s="69"/>
      <c r="D194" s="31"/>
      <c r="E194" s="34"/>
      <c r="F194" s="31"/>
      <c r="G194" s="31"/>
      <c r="H194" s="31"/>
      <c r="I194" s="31"/>
      <c r="J194" s="215"/>
      <c r="K194" s="212"/>
      <c r="L194" s="212"/>
      <c r="M194" s="212"/>
      <c r="N194" s="212"/>
      <c r="O194" s="212"/>
      <c r="P194" s="212"/>
      <c r="Q194" s="212"/>
      <c r="R194" s="212"/>
      <c r="S194" s="212"/>
      <c r="T194" s="212"/>
      <c r="U194" s="212"/>
      <c r="V194" s="212"/>
      <c r="W194" s="212"/>
      <c r="X194" s="212"/>
      <c r="Y194" s="212"/>
      <c r="Z194" s="212"/>
      <c r="AA194" s="212"/>
      <c r="AB194" s="212"/>
      <c r="AC194" s="212"/>
      <c r="AD194" s="212"/>
      <c r="AE194" s="212"/>
      <c r="AF194" s="212"/>
      <c r="AG194" s="212"/>
      <c r="AH194" s="212"/>
      <c r="AI194" s="212"/>
      <c r="AJ194" s="212"/>
      <c r="AK194" s="212"/>
      <c r="AL194" s="212"/>
      <c r="AM194" s="212"/>
      <c r="AN194" s="212"/>
      <c r="AO194" s="212"/>
      <c r="AP194" s="212"/>
      <c r="AQ194" s="212"/>
      <c r="AR194" s="212"/>
    </row>
    <row r="195" spans="1:78" ht="26.25" customHeight="1" x14ac:dyDescent="0.3">
      <c r="A195" s="13" t="s">
        <v>289</v>
      </c>
      <c r="B195" s="69"/>
      <c r="D195" s="31"/>
      <c r="E195" s="32"/>
      <c r="F195" s="33"/>
      <c r="G195" s="31"/>
      <c r="H195" s="31"/>
      <c r="I195" s="31"/>
      <c r="J195" s="215"/>
      <c r="K195" s="212"/>
      <c r="L195" s="717" t="s">
        <v>1107</v>
      </c>
      <c r="M195" s="717"/>
      <c r="N195" s="717"/>
      <c r="O195" s="717"/>
      <c r="P195" s="717"/>
      <c r="Q195" s="717"/>
      <c r="R195" s="717"/>
      <c r="S195" s="717"/>
      <c r="T195" s="717"/>
      <c r="U195" s="717"/>
      <c r="V195" s="717"/>
      <c r="W195" s="717"/>
      <c r="X195" s="717"/>
      <c r="Y195" s="717"/>
      <c r="Z195" s="717"/>
      <c r="AA195" s="717"/>
      <c r="AB195" s="717"/>
      <c r="AC195" s="717"/>
      <c r="AD195" s="717"/>
      <c r="AE195" s="717"/>
      <c r="AF195" s="717"/>
      <c r="AG195" s="717"/>
      <c r="AH195" s="717"/>
      <c r="AI195" s="717"/>
      <c r="AJ195" s="717"/>
      <c r="AK195" s="717"/>
      <c r="AL195" s="717"/>
      <c r="AM195" s="717"/>
      <c r="AN195" s="717"/>
      <c r="AO195" s="717"/>
      <c r="AP195" s="717"/>
      <c r="AQ195" s="717"/>
      <c r="AR195" s="717"/>
    </row>
    <row r="196" spans="1:78" ht="4.5" customHeight="1" x14ac:dyDescent="0.3">
      <c r="A196" s="13"/>
      <c r="B196" s="69"/>
      <c r="D196" s="31"/>
      <c r="E196" s="32"/>
      <c r="F196" s="33"/>
      <c r="G196" s="31"/>
      <c r="H196" s="31"/>
      <c r="I196" s="31"/>
      <c r="J196" s="215"/>
      <c r="K196" s="212"/>
      <c r="L196" s="212"/>
      <c r="M196" s="212"/>
      <c r="N196" s="212"/>
      <c r="O196" s="212"/>
      <c r="P196" s="212"/>
      <c r="Q196" s="212"/>
      <c r="R196" s="212"/>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row>
    <row r="197" spans="1:78" ht="26.25" customHeight="1" x14ac:dyDescent="0.3">
      <c r="A197" s="13" t="s">
        <v>290</v>
      </c>
      <c r="B197" s="69"/>
      <c r="D197" s="31"/>
      <c r="E197" s="34"/>
      <c r="F197" s="31"/>
      <c r="G197" s="31"/>
      <c r="H197" s="31"/>
      <c r="I197" s="31"/>
      <c r="J197" s="215"/>
      <c r="K197" s="212"/>
      <c r="L197" s="717" t="str">
        <f>IF(calculations!B3=1,"GOLD MEDAL plus organiziation standards establish a minimum age for unaccompanied children that may be made more stringent (i.e., older) if a branch’s needs so demand.","GOLD MEDAL plus association standards establish a minimum age for unaccompanied children that may be made more stringent (i.e., older) if a branch’s needs so demand.")</f>
        <v>GOLD MEDAL plus association standards establish a minimum age for unaccompanied children that may be made more stringent (i.e., older) if a branch’s needs so demand.</v>
      </c>
      <c r="M197" s="717"/>
      <c r="N197" s="717"/>
      <c r="O197" s="717"/>
      <c r="P197" s="717"/>
      <c r="Q197" s="717"/>
      <c r="R197" s="717"/>
      <c r="S197" s="717"/>
      <c r="T197" s="717"/>
      <c r="U197" s="717"/>
      <c r="V197" s="717"/>
      <c r="W197" s="717"/>
      <c r="X197" s="717"/>
      <c r="Y197" s="717"/>
      <c r="Z197" s="717"/>
      <c r="AA197" s="717"/>
      <c r="AB197" s="717"/>
      <c r="AC197" s="717"/>
      <c r="AD197" s="717"/>
      <c r="AE197" s="717"/>
      <c r="AF197" s="717"/>
      <c r="AG197" s="717"/>
      <c r="AH197" s="717"/>
      <c r="AI197" s="717"/>
      <c r="AJ197" s="717"/>
      <c r="AK197" s="717"/>
      <c r="AL197" s="717"/>
      <c r="AM197" s="717"/>
      <c r="AN197" s="717"/>
      <c r="AO197" s="717"/>
      <c r="AP197" s="717"/>
      <c r="AQ197" s="717"/>
      <c r="AR197" s="717"/>
    </row>
    <row r="198" spans="1:78" ht="4.5" customHeight="1" x14ac:dyDescent="0.3">
      <c r="A198" s="13"/>
      <c r="B198" s="69"/>
      <c r="D198" s="31"/>
      <c r="E198" s="34"/>
      <c r="F198" s="31"/>
      <c r="G198" s="31"/>
      <c r="H198" s="31"/>
      <c r="I198" s="31"/>
      <c r="J198" s="215"/>
      <c r="K198" s="212"/>
      <c r="L198" s="213"/>
      <c r="M198" s="213"/>
      <c r="N198" s="213"/>
      <c r="O198" s="213"/>
      <c r="P198" s="213"/>
      <c r="Q198" s="213"/>
      <c r="R198" s="213"/>
      <c r="S198" s="213"/>
      <c r="T198" s="213"/>
      <c r="U198" s="213"/>
      <c r="V198" s="213"/>
      <c r="W198" s="213"/>
      <c r="X198" s="213"/>
      <c r="Y198" s="213"/>
      <c r="Z198" s="213"/>
      <c r="AA198" s="213"/>
      <c r="AB198" s="213"/>
      <c r="AC198" s="213"/>
      <c r="AD198" s="213"/>
      <c r="AE198" s="213"/>
      <c r="AF198" s="213"/>
      <c r="AG198" s="213"/>
      <c r="AH198" s="213"/>
      <c r="AI198" s="213"/>
      <c r="AJ198" s="213"/>
      <c r="AK198" s="213"/>
      <c r="AL198" s="213"/>
      <c r="AM198" s="213"/>
      <c r="AN198" s="213"/>
      <c r="AO198" s="213"/>
      <c r="AP198" s="213"/>
      <c r="AQ198" s="213"/>
      <c r="AR198" s="212"/>
    </row>
    <row r="199" spans="1:78" ht="26.25" customHeight="1" x14ac:dyDescent="0.3">
      <c r="A199" s="13" t="s">
        <v>291</v>
      </c>
      <c r="B199" s="69"/>
      <c r="D199" s="31"/>
      <c r="E199" s="32"/>
      <c r="F199" s="33"/>
      <c r="G199" s="31"/>
      <c r="H199" s="31"/>
      <c r="I199" s="31"/>
      <c r="J199" s="215"/>
      <c r="K199" s="212"/>
      <c r="L199" s="717" t="s">
        <v>1108</v>
      </c>
      <c r="M199" s="717"/>
      <c r="N199" s="717"/>
      <c r="O199" s="717"/>
      <c r="P199" s="717"/>
      <c r="Q199" s="717"/>
      <c r="R199" s="717"/>
      <c r="S199" s="717"/>
      <c r="T199" s="717"/>
      <c r="U199" s="717"/>
      <c r="V199" s="717"/>
      <c r="W199" s="717"/>
      <c r="X199" s="717"/>
      <c r="Y199" s="717"/>
      <c r="Z199" s="717"/>
      <c r="AA199" s="717"/>
      <c r="AB199" s="717"/>
      <c r="AC199" s="717"/>
      <c r="AD199" s="717"/>
      <c r="AE199" s="717"/>
      <c r="AF199" s="717"/>
      <c r="AG199" s="717"/>
      <c r="AH199" s="717"/>
      <c r="AI199" s="717"/>
      <c r="AJ199" s="717"/>
      <c r="AK199" s="717"/>
      <c r="AL199" s="717"/>
      <c r="AM199" s="717"/>
      <c r="AN199" s="717"/>
      <c r="AO199" s="717"/>
      <c r="AP199" s="717"/>
      <c r="AQ199" s="717"/>
      <c r="AR199" s="717"/>
      <c r="AT199" s="632"/>
      <c r="AU199" s="632"/>
      <c r="AV199" s="632"/>
      <c r="AW199" s="632"/>
      <c r="AX199" s="632"/>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row>
    <row r="200" spans="1:78" ht="4.5" customHeight="1" x14ac:dyDescent="0.3">
      <c r="A200" s="13"/>
      <c r="B200" s="69"/>
      <c r="E200" s="35"/>
      <c r="J200" s="214"/>
      <c r="K200" s="212"/>
      <c r="L200" s="212"/>
      <c r="M200" s="212"/>
      <c r="N200" s="212"/>
      <c r="O200" s="212"/>
      <c r="P200" s="212"/>
      <c r="Q200" s="212"/>
      <c r="R200" s="212"/>
      <c r="S200" s="212"/>
      <c r="T200" s="212"/>
      <c r="U200" s="212"/>
      <c r="V200" s="212"/>
      <c r="W200" s="212"/>
      <c r="X200" s="220"/>
      <c r="Y200" s="212"/>
      <c r="Z200" s="212"/>
      <c r="AA200" s="212"/>
      <c r="AB200" s="212"/>
      <c r="AC200" s="212"/>
      <c r="AD200" s="212"/>
      <c r="AE200" s="212"/>
      <c r="AF200" s="212"/>
      <c r="AG200" s="212"/>
      <c r="AH200" s="212"/>
      <c r="AI200" s="212"/>
      <c r="AJ200" s="212"/>
      <c r="AK200" s="212"/>
      <c r="AL200" s="212"/>
      <c r="AM200" s="212"/>
      <c r="AN200" s="212"/>
      <c r="AO200" s="212"/>
      <c r="AP200" s="212"/>
      <c r="AQ200" s="212"/>
      <c r="AR200" s="212"/>
    </row>
    <row r="201" spans="1:78" ht="26.25" customHeight="1" x14ac:dyDescent="0.3">
      <c r="A201" s="13" t="s">
        <v>292</v>
      </c>
      <c r="B201" s="69"/>
      <c r="E201" s="11"/>
      <c r="F201" s="3"/>
      <c r="J201" s="214"/>
      <c r="K201" s="212"/>
      <c r="L201" s="717" t="s">
        <v>1109</v>
      </c>
      <c r="M201" s="717"/>
      <c r="N201" s="717"/>
      <c r="O201" s="717"/>
      <c r="P201" s="717"/>
      <c r="Q201" s="717"/>
      <c r="R201" s="717"/>
      <c r="S201" s="717"/>
      <c r="T201" s="717"/>
      <c r="U201" s="717"/>
      <c r="V201" s="717"/>
      <c r="W201" s="717"/>
      <c r="X201" s="717"/>
      <c r="Y201" s="717"/>
      <c r="Z201" s="717"/>
      <c r="AA201" s="717"/>
      <c r="AB201" s="717"/>
      <c r="AC201" s="717"/>
      <c r="AD201" s="717"/>
      <c r="AE201" s="717"/>
      <c r="AF201" s="717"/>
      <c r="AG201" s="717"/>
      <c r="AH201" s="717"/>
      <c r="AI201" s="717"/>
      <c r="AJ201" s="717"/>
      <c r="AK201" s="717"/>
      <c r="AL201" s="717"/>
      <c r="AM201" s="717"/>
      <c r="AN201" s="717"/>
      <c r="AO201" s="717"/>
      <c r="AP201" s="717"/>
      <c r="AQ201" s="717"/>
      <c r="AR201" s="717"/>
      <c r="AT201" s="632"/>
      <c r="AU201" s="632"/>
      <c r="AV201" s="632"/>
      <c r="AW201" s="632"/>
      <c r="AX201" s="632"/>
      <c r="AY201" s="632"/>
      <c r="AZ201" s="632"/>
      <c r="BA201" s="632"/>
      <c r="BB201" s="632"/>
      <c r="BC201" s="632"/>
      <c r="BD201" s="632"/>
      <c r="BE201" s="632"/>
      <c r="BF201" s="632"/>
      <c r="BG201" s="632"/>
      <c r="BH201" s="632"/>
      <c r="BI201" s="632"/>
      <c r="BJ201" s="632"/>
      <c r="BK201" s="632"/>
      <c r="BL201" s="632"/>
      <c r="BM201" s="632"/>
      <c r="BN201" s="632"/>
      <c r="BO201" s="632"/>
      <c r="BP201" s="632"/>
      <c r="BQ201" s="632"/>
      <c r="BR201" s="632"/>
      <c r="BS201" s="632"/>
      <c r="BT201" s="632"/>
      <c r="BU201" s="632"/>
      <c r="BV201" s="632"/>
      <c r="BW201" s="632"/>
      <c r="BX201" s="632"/>
      <c r="BY201" s="632"/>
      <c r="BZ201" s="632"/>
    </row>
    <row r="202" spans="1:78" ht="4.5" customHeight="1" x14ac:dyDescent="0.3">
      <c r="A202" s="13"/>
      <c r="B202" s="69"/>
      <c r="E202" s="11"/>
      <c r="J202" s="214"/>
      <c r="K202" s="212"/>
      <c r="L202" s="212"/>
      <c r="M202" s="212"/>
      <c r="N202" s="212"/>
      <c r="O202" s="212"/>
      <c r="P202" s="212"/>
      <c r="Q202" s="212"/>
      <c r="R202" s="212"/>
      <c r="S202" s="212"/>
      <c r="T202" s="212"/>
      <c r="U202" s="212"/>
      <c r="V202" s="212"/>
      <c r="W202" s="212"/>
      <c r="X202" s="212"/>
      <c r="Y202" s="212"/>
      <c r="Z202" s="212"/>
      <c r="AA202" s="212"/>
      <c r="AB202" s="212"/>
      <c r="AC202" s="212"/>
      <c r="AD202" s="212"/>
      <c r="AE202" s="212"/>
      <c r="AF202" s="212"/>
      <c r="AG202" s="212"/>
      <c r="AH202" s="212"/>
      <c r="AI202" s="212"/>
      <c r="AJ202" s="212"/>
      <c r="AK202" s="212"/>
      <c r="AL202" s="212"/>
      <c r="AM202" s="212"/>
      <c r="AN202" s="212"/>
      <c r="AO202" s="212"/>
      <c r="AP202" s="212"/>
      <c r="AQ202" s="212"/>
      <c r="AR202" s="212"/>
    </row>
    <row r="203" spans="1:78" x14ac:dyDescent="0.3">
      <c r="A203" s="13" t="s">
        <v>293</v>
      </c>
      <c r="B203" s="69"/>
      <c r="D203" s="39"/>
      <c r="E203" s="44"/>
      <c r="F203" s="39"/>
      <c r="G203" s="39"/>
      <c r="H203" s="39"/>
      <c r="I203" s="39"/>
      <c r="J203" s="218"/>
      <c r="K203" s="219"/>
      <c r="L203" s="727" t="s">
        <v>1110</v>
      </c>
      <c r="M203" s="727"/>
      <c r="N203" s="727"/>
      <c r="O203" s="727"/>
      <c r="P203" s="727"/>
      <c r="Q203" s="727"/>
      <c r="R203" s="727"/>
      <c r="S203" s="727"/>
      <c r="T203" s="727"/>
      <c r="U203" s="727"/>
      <c r="V203" s="727"/>
      <c r="W203" s="727"/>
      <c r="X203" s="727"/>
      <c r="Y203" s="727"/>
      <c r="Z203" s="727"/>
      <c r="AA203" s="727"/>
      <c r="AB203" s="727"/>
      <c r="AC203" s="727"/>
      <c r="AD203" s="727"/>
      <c r="AE203" s="727"/>
      <c r="AF203" s="727"/>
      <c r="AG203" s="727"/>
      <c r="AH203" s="727"/>
      <c r="AI203" s="727"/>
      <c r="AJ203" s="727"/>
      <c r="AK203" s="727"/>
      <c r="AL203" s="727"/>
      <c r="AM203" s="727"/>
      <c r="AN203" s="727"/>
      <c r="AO203" s="727"/>
      <c r="AP203" s="727"/>
      <c r="AQ203" s="727"/>
      <c r="AR203" s="727"/>
    </row>
    <row r="204" spans="1:78" ht="4.5" customHeight="1" x14ac:dyDescent="0.3">
      <c r="A204" s="13"/>
      <c r="B204" s="69"/>
      <c r="D204" s="31"/>
      <c r="E204" s="32"/>
      <c r="F204" s="33"/>
      <c r="G204" s="31"/>
      <c r="H204" s="31"/>
      <c r="I204" s="31"/>
      <c r="J204" s="215"/>
      <c r="K204" s="216"/>
      <c r="L204" s="216"/>
      <c r="M204" s="216"/>
      <c r="N204" s="216"/>
      <c r="O204" s="216"/>
      <c r="P204" s="216"/>
      <c r="Q204" s="216"/>
      <c r="R204" s="216"/>
      <c r="S204" s="216"/>
      <c r="T204" s="216"/>
      <c r="U204" s="216"/>
      <c r="V204" s="216"/>
      <c r="W204" s="216"/>
      <c r="X204" s="216"/>
      <c r="Y204" s="216"/>
      <c r="Z204" s="216"/>
      <c r="AA204" s="216"/>
      <c r="AB204" s="216"/>
      <c r="AC204" s="216"/>
      <c r="AD204" s="216"/>
      <c r="AE204" s="216"/>
      <c r="AF204" s="216"/>
      <c r="AG204" s="216"/>
      <c r="AH204" s="216"/>
      <c r="AI204" s="216"/>
      <c r="AJ204" s="216"/>
      <c r="AK204" s="216"/>
      <c r="AL204" s="216"/>
      <c r="AM204" s="216"/>
      <c r="AN204" s="216"/>
      <c r="AO204" s="216"/>
      <c r="AP204" s="216"/>
      <c r="AQ204" s="216"/>
      <c r="AR204" s="216"/>
    </row>
    <row r="205" spans="1:78" x14ac:dyDescent="0.3">
      <c r="A205" s="13"/>
      <c r="B205" s="69"/>
      <c r="E205" s="11"/>
      <c r="F205" s="13" t="s">
        <v>700</v>
      </c>
      <c r="J205" s="706" t="str">
        <f>IF(calculations!M11,"describe corrective action proposed to correct any Red Flag or Yellow Flag ranking",IF(calculations!N11,"describe corrective action proposed to correct any Red Flag or Yellow Flag ranking",""))</f>
        <v/>
      </c>
      <c r="K205" s="707"/>
      <c r="L205" s="707"/>
      <c r="M205" s="707"/>
      <c r="N205" s="707"/>
      <c r="O205" s="707"/>
      <c r="P205" s="707"/>
      <c r="Q205" s="707"/>
      <c r="R205" s="707"/>
      <c r="S205" s="707"/>
      <c r="T205" s="707"/>
      <c r="U205" s="707"/>
      <c r="V205" s="707"/>
      <c r="W205" s="707"/>
      <c r="X205" s="707"/>
      <c r="Y205" s="707"/>
      <c r="Z205" s="707"/>
      <c r="AA205" s="707"/>
      <c r="AB205" s="707"/>
      <c r="AC205" s="707"/>
      <c r="AD205" s="707"/>
      <c r="AE205" s="707"/>
      <c r="AF205" s="707"/>
      <c r="AG205" s="707"/>
      <c r="AH205" s="707"/>
      <c r="AI205" s="707"/>
      <c r="AJ205" s="707"/>
      <c r="AK205" s="707"/>
      <c r="AL205" s="707"/>
      <c r="AM205" s="707"/>
      <c r="AN205" s="707"/>
      <c r="AO205" s="707"/>
      <c r="AP205" s="707"/>
      <c r="AQ205" s="707"/>
      <c r="AR205" s="708"/>
    </row>
    <row r="206" spans="1:78" ht="4.5" customHeight="1" x14ac:dyDescent="0.3">
      <c r="A206" s="13"/>
      <c r="B206" s="69"/>
      <c r="E206" s="11"/>
      <c r="G206" s="38"/>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row>
    <row r="207" spans="1:78" ht="24.75" customHeight="1" x14ac:dyDescent="0.3">
      <c r="A207" s="13"/>
      <c r="B207" s="69"/>
      <c r="E207" s="11"/>
      <c r="F207" s="55" t="str">
        <f>IF(calculations!M11,"OFE",IF(calculations!N11,"OFE",IF(J207&gt;"","REC","")))</f>
        <v/>
      </c>
      <c r="G207" s="38"/>
      <c r="J207" s="724" t="str">
        <f>IF(calculations!M11,CONCATENATE("OFE:  ",Rec!E17),IF(calculations!N11,CONCATENATE("OFE:  ",Rec!E18),""))</f>
        <v/>
      </c>
      <c r="K207" s="725"/>
      <c r="L207" s="725"/>
      <c r="M207" s="725"/>
      <c r="N207" s="725"/>
      <c r="O207" s="725"/>
      <c r="P207" s="725"/>
      <c r="Q207" s="725"/>
      <c r="R207" s="725"/>
      <c r="S207" s="725"/>
      <c r="T207" s="725"/>
      <c r="U207" s="725"/>
      <c r="V207" s="725"/>
      <c r="W207" s="725"/>
      <c r="X207" s="725"/>
      <c r="Y207" s="725"/>
      <c r="Z207" s="725"/>
      <c r="AA207" s="725"/>
      <c r="AB207" s="725"/>
      <c r="AC207" s="725"/>
      <c r="AD207" s="725"/>
      <c r="AE207" s="725"/>
      <c r="AF207" s="725"/>
      <c r="AG207" s="725"/>
      <c r="AH207" s="725"/>
      <c r="AI207" s="725"/>
      <c r="AJ207" s="725"/>
      <c r="AK207" s="725"/>
      <c r="AL207" s="725"/>
      <c r="AM207" s="725"/>
      <c r="AN207" s="725"/>
      <c r="AO207" s="725"/>
      <c r="AP207" s="725"/>
      <c r="AQ207" s="725"/>
      <c r="AR207" s="726"/>
    </row>
    <row r="208" spans="1:78" ht="12.75" customHeight="1" x14ac:dyDescent="0.3">
      <c r="A208" s="13"/>
      <c r="B208" s="69"/>
      <c r="E208" s="11"/>
      <c r="F208" s="37"/>
    </row>
    <row r="209" spans="1:78" ht="14.15" x14ac:dyDescent="0.35">
      <c r="A209" s="232" t="s">
        <v>1990</v>
      </c>
      <c r="B209" s="69"/>
      <c r="D209" s="30" t="s">
        <v>713</v>
      </c>
      <c r="E209" s="11"/>
    </row>
    <row r="210" spans="1:78" ht="4.5" customHeight="1" x14ac:dyDescent="0.3">
      <c r="A210" s="13"/>
      <c r="B210" s="69"/>
      <c r="E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row>
    <row r="211" spans="1:78" ht="26.25" customHeight="1" x14ac:dyDescent="0.3">
      <c r="A211" s="13" t="s">
        <v>294</v>
      </c>
      <c r="B211" s="69"/>
      <c r="D211" s="31"/>
      <c r="E211" s="32"/>
      <c r="F211" s="33"/>
      <c r="G211" s="31"/>
      <c r="H211" s="31"/>
      <c r="I211" s="31"/>
      <c r="J211" s="215"/>
      <c r="K211" s="212"/>
      <c r="L211" s="717" t="s">
        <v>1111</v>
      </c>
      <c r="M211" s="717"/>
      <c r="N211" s="717"/>
      <c r="O211" s="717"/>
      <c r="P211" s="717"/>
      <c r="Q211" s="717"/>
      <c r="R211" s="717"/>
      <c r="S211" s="717"/>
      <c r="T211" s="717"/>
      <c r="U211" s="717"/>
      <c r="V211" s="717"/>
      <c r="W211" s="717"/>
      <c r="X211" s="717"/>
      <c r="Y211" s="717"/>
      <c r="Z211" s="717"/>
      <c r="AA211" s="717"/>
      <c r="AB211" s="717"/>
      <c r="AC211" s="717"/>
      <c r="AD211" s="717"/>
      <c r="AE211" s="717"/>
      <c r="AF211" s="717"/>
      <c r="AG211" s="717"/>
      <c r="AH211" s="717"/>
      <c r="AI211" s="717"/>
      <c r="AJ211" s="717"/>
      <c r="AK211" s="717"/>
      <c r="AL211" s="717"/>
      <c r="AM211" s="717"/>
      <c r="AN211" s="717"/>
      <c r="AO211" s="717"/>
      <c r="AP211" s="717"/>
      <c r="AQ211" s="717"/>
      <c r="AR211" s="717"/>
    </row>
    <row r="212" spans="1:78" ht="4.5" customHeight="1" x14ac:dyDescent="0.3">
      <c r="A212" s="13"/>
      <c r="B212" s="69"/>
      <c r="D212" s="31"/>
      <c r="E212" s="34"/>
      <c r="F212" s="31"/>
      <c r="G212" s="31"/>
      <c r="H212" s="31"/>
      <c r="I212" s="31"/>
      <c r="J212" s="215"/>
      <c r="K212" s="212"/>
      <c r="L212" s="212"/>
      <c r="M212" s="212"/>
      <c r="N212" s="212"/>
      <c r="O212" s="212"/>
      <c r="P212" s="212"/>
      <c r="Q212" s="212"/>
      <c r="R212" s="212"/>
      <c r="S212" s="212"/>
      <c r="T212" s="212"/>
      <c r="U212" s="212"/>
      <c r="V212" s="212"/>
      <c r="W212" s="212"/>
      <c r="X212" s="212"/>
      <c r="Y212" s="212"/>
      <c r="Z212" s="212"/>
      <c r="AA212" s="212"/>
      <c r="AB212" s="212"/>
      <c r="AC212" s="212"/>
      <c r="AD212" s="212"/>
      <c r="AE212" s="212"/>
      <c r="AF212" s="212"/>
      <c r="AG212" s="212"/>
      <c r="AH212" s="212"/>
      <c r="AI212" s="212"/>
      <c r="AJ212" s="212"/>
      <c r="AK212" s="212"/>
      <c r="AL212" s="212"/>
      <c r="AM212" s="212"/>
      <c r="AN212" s="212"/>
      <c r="AO212" s="212"/>
      <c r="AP212" s="212"/>
      <c r="AQ212" s="212"/>
      <c r="AR212" s="212"/>
    </row>
    <row r="213" spans="1:78" ht="26.25" customHeight="1" x14ac:dyDescent="0.3">
      <c r="A213" s="13" t="s">
        <v>295</v>
      </c>
      <c r="B213" s="69"/>
      <c r="D213" s="31"/>
      <c r="E213" s="32"/>
      <c r="F213" s="33"/>
      <c r="G213" s="31"/>
      <c r="H213" s="31"/>
      <c r="I213" s="31"/>
      <c r="J213" s="215"/>
      <c r="K213" s="212"/>
      <c r="L213" s="717" t="s">
        <v>1112</v>
      </c>
      <c r="M213" s="717"/>
      <c r="N213" s="717"/>
      <c r="O213" s="717"/>
      <c r="P213" s="717"/>
      <c r="Q213" s="717"/>
      <c r="R213" s="717"/>
      <c r="S213" s="717"/>
      <c r="T213" s="717"/>
      <c r="U213" s="717"/>
      <c r="V213" s="717"/>
      <c r="W213" s="717"/>
      <c r="X213" s="717"/>
      <c r="Y213" s="717"/>
      <c r="Z213" s="717"/>
      <c r="AA213" s="717"/>
      <c r="AB213" s="717"/>
      <c r="AC213" s="717"/>
      <c r="AD213" s="717"/>
      <c r="AE213" s="717"/>
      <c r="AF213" s="717"/>
      <c r="AG213" s="717"/>
      <c r="AH213" s="717"/>
      <c r="AI213" s="717"/>
      <c r="AJ213" s="717"/>
      <c r="AK213" s="717"/>
      <c r="AL213" s="717"/>
      <c r="AM213" s="717"/>
      <c r="AN213" s="717"/>
      <c r="AO213" s="717"/>
      <c r="AP213" s="717"/>
      <c r="AQ213" s="717"/>
      <c r="AR213" s="717"/>
    </row>
    <row r="214" spans="1:78" ht="4.5" customHeight="1" x14ac:dyDescent="0.3">
      <c r="A214" s="13"/>
      <c r="B214" s="69"/>
      <c r="D214" s="31"/>
      <c r="E214" s="32"/>
      <c r="F214" s="33"/>
      <c r="G214" s="31"/>
      <c r="H214" s="31"/>
      <c r="I214" s="31"/>
      <c r="J214" s="215"/>
      <c r="K214" s="212"/>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2"/>
    </row>
    <row r="215" spans="1:78" ht="78" customHeight="1" x14ac:dyDescent="0.3">
      <c r="A215" s="13" t="s">
        <v>296</v>
      </c>
      <c r="B215" s="69"/>
      <c r="D215" s="31"/>
      <c r="E215" s="34"/>
      <c r="F215" s="31"/>
      <c r="G215" s="31"/>
      <c r="H215" s="31"/>
      <c r="I215" s="31"/>
      <c r="J215" s="215"/>
      <c r="K215" s="212"/>
      <c r="L215" s="717" t="s">
        <v>1809</v>
      </c>
      <c r="M215" s="717"/>
      <c r="N215" s="717"/>
      <c r="O215" s="717"/>
      <c r="P215" s="717"/>
      <c r="Q215" s="717"/>
      <c r="R215" s="717"/>
      <c r="S215" s="717"/>
      <c r="T215" s="717"/>
      <c r="U215" s="717"/>
      <c r="V215" s="717"/>
      <c r="W215" s="717"/>
      <c r="X215" s="717"/>
      <c r="Y215" s="717"/>
      <c r="Z215" s="717"/>
      <c r="AA215" s="717"/>
      <c r="AB215" s="717"/>
      <c r="AC215" s="717"/>
      <c r="AD215" s="717"/>
      <c r="AE215" s="717"/>
      <c r="AF215" s="717"/>
      <c r="AG215" s="717"/>
      <c r="AH215" s="717"/>
      <c r="AI215" s="717"/>
      <c r="AJ215" s="717"/>
      <c r="AK215" s="717"/>
      <c r="AL215" s="717"/>
      <c r="AM215" s="717"/>
      <c r="AN215" s="717"/>
      <c r="AO215" s="717"/>
      <c r="AP215" s="717"/>
      <c r="AQ215" s="717"/>
      <c r="AR215" s="717"/>
    </row>
    <row r="216" spans="1:78" ht="4.5" customHeight="1" x14ac:dyDescent="0.3">
      <c r="A216" s="13"/>
      <c r="B216" s="69"/>
      <c r="D216" s="31"/>
      <c r="E216" s="34"/>
      <c r="F216" s="31"/>
      <c r="G216" s="31"/>
      <c r="H216" s="31"/>
      <c r="I216" s="31"/>
      <c r="J216" s="215"/>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c r="AL216" s="212"/>
      <c r="AM216" s="212"/>
      <c r="AN216" s="212"/>
      <c r="AO216" s="212"/>
      <c r="AP216" s="212"/>
      <c r="AQ216" s="212"/>
      <c r="AR216" s="212"/>
    </row>
    <row r="217" spans="1:78" ht="39.75" customHeight="1" x14ac:dyDescent="0.3">
      <c r="A217" s="13" t="s">
        <v>297</v>
      </c>
      <c r="B217" s="69"/>
      <c r="D217" s="31"/>
      <c r="E217" s="32"/>
      <c r="F217" s="33"/>
      <c r="G217" s="31"/>
      <c r="H217" s="31"/>
      <c r="I217" s="31"/>
      <c r="J217" s="215"/>
      <c r="K217" s="212"/>
      <c r="L217" s="717" t="s">
        <v>1810</v>
      </c>
      <c r="M217" s="717"/>
      <c r="N217" s="717"/>
      <c r="O217" s="717"/>
      <c r="P217" s="717"/>
      <c r="Q217" s="717"/>
      <c r="R217" s="717"/>
      <c r="S217" s="717"/>
      <c r="T217" s="717"/>
      <c r="U217" s="717"/>
      <c r="V217" s="717"/>
      <c r="W217" s="717"/>
      <c r="X217" s="717"/>
      <c r="Y217" s="717"/>
      <c r="Z217" s="717"/>
      <c r="AA217" s="717"/>
      <c r="AB217" s="717"/>
      <c r="AC217" s="717"/>
      <c r="AD217" s="717"/>
      <c r="AE217" s="717"/>
      <c r="AF217" s="717"/>
      <c r="AG217" s="717"/>
      <c r="AH217" s="717"/>
      <c r="AI217" s="717"/>
      <c r="AJ217" s="717"/>
      <c r="AK217" s="717"/>
      <c r="AL217" s="717"/>
      <c r="AM217" s="717"/>
      <c r="AN217" s="717"/>
      <c r="AO217" s="717"/>
      <c r="AP217" s="717"/>
      <c r="AQ217" s="717"/>
      <c r="AR217" s="717"/>
      <c r="AT217" s="632"/>
      <c r="AU217" s="632"/>
      <c r="AV217" s="632"/>
      <c r="AW217" s="632"/>
      <c r="AX217" s="632"/>
      <c r="AY217" s="632"/>
      <c r="AZ217" s="632"/>
      <c r="BA217" s="632"/>
      <c r="BB217" s="632"/>
      <c r="BC217" s="632"/>
      <c r="BD217" s="632"/>
      <c r="BE217" s="632"/>
      <c r="BF217" s="632"/>
      <c r="BG217" s="632"/>
      <c r="BH217" s="632"/>
      <c r="BI217" s="632"/>
      <c r="BJ217" s="632"/>
      <c r="BK217" s="632"/>
      <c r="BL217" s="632"/>
      <c r="BM217" s="632"/>
      <c r="BN217" s="632"/>
      <c r="BO217" s="632"/>
      <c r="BP217" s="632"/>
      <c r="BQ217" s="632"/>
      <c r="BR217" s="632"/>
      <c r="BS217" s="632"/>
      <c r="BT217" s="632"/>
      <c r="BU217" s="632"/>
      <c r="BV217" s="632"/>
      <c r="BW217" s="632"/>
      <c r="BX217" s="632"/>
      <c r="BY217" s="632"/>
      <c r="BZ217" s="632"/>
    </row>
    <row r="218" spans="1:78" ht="4.5" customHeight="1" x14ac:dyDescent="0.3">
      <c r="A218" s="13"/>
      <c r="B218" s="69"/>
      <c r="E218" s="35"/>
      <c r="J218" s="214"/>
      <c r="K218" s="212"/>
      <c r="L218" s="212"/>
      <c r="M218" s="212"/>
      <c r="N218" s="212"/>
      <c r="O218" s="212"/>
      <c r="P218" s="212"/>
      <c r="Q218" s="212"/>
      <c r="R218" s="212"/>
      <c r="S218" s="212"/>
      <c r="T218" s="212"/>
      <c r="U218" s="212"/>
      <c r="V218" s="212"/>
      <c r="W218" s="212"/>
      <c r="X218" s="212"/>
      <c r="Y218" s="212"/>
      <c r="Z218" s="212"/>
      <c r="AA218" s="212"/>
      <c r="AB218" s="212"/>
      <c r="AC218" s="212"/>
      <c r="AD218" s="212"/>
      <c r="AE218" s="212"/>
      <c r="AF218" s="212"/>
      <c r="AG218" s="212"/>
      <c r="AH218" s="212"/>
      <c r="AI218" s="212"/>
      <c r="AJ218" s="212"/>
      <c r="AK218" s="212"/>
      <c r="AL218" s="212"/>
      <c r="AM218" s="212"/>
      <c r="AN218" s="212"/>
      <c r="AO218" s="212"/>
      <c r="AP218" s="212"/>
      <c r="AQ218" s="212"/>
      <c r="AR218" s="212"/>
    </row>
    <row r="219" spans="1:78" ht="26.25" customHeight="1" x14ac:dyDescent="0.3">
      <c r="A219" s="13" t="s">
        <v>298</v>
      </c>
      <c r="B219" s="69"/>
      <c r="E219" s="11"/>
      <c r="F219" s="3"/>
      <c r="J219" s="214"/>
      <c r="K219" s="212"/>
      <c r="L219" s="717" t="s">
        <v>1113</v>
      </c>
      <c r="M219" s="717"/>
      <c r="N219" s="717"/>
      <c r="O219" s="717"/>
      <c r="P219" s="717"/>
      <c r="Q219" s="717"/>
      <c r="R219" s="717"/>
      <c r="S219" s="717"/>
      <c r="T219" s="717"/>
      <c r="U219" s="717"/>
      <c r="V219" s="717"/>
      <c r="W219" s="717"/>
      <c r="X219" s="717"/>
      <c r="Y219" s="717"/>
      <c r="Z219" s="717"/>
      <c r="AA219" s="717"/>
      <c r="AB219" s="717"/>
      <c r="AC219" s="717"/>
      <c r="AD219" s="717"/>
      <c r="AE219" s="717"/>
      <c r="AF219" s="717"/>
      <c r="AG219" s="717"/>
      <c r="AH219" s="717"/>
      <c r="AI219" s="717"/>
      <c r="AJ219" s="717"/>
      <c r="AK219" s="717"/>
      <c r="AL219" s="717"/>
      <c r="AM219" s="717"/>
      <c r="AN219" s="717"/>
      <c r="AO219" s="717"/>
      <c r="AP219" s="717"/>
      <c r="AQ219" s="717"/>
      <c r="AR219" s="717"/>
    </row>
    <row r="220" spans="1:78" ht="4.5" customHeight="1" x14ac:dyDescent="0.3">
      <c r="A220" s="13"/>
      <c r="B220" s="69"/>
      <c r="E220" s="11"/>
      <c r="J220" s="214"/>
      <c r="K220" s="212"/>
      <c r="L220" s="212"/>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row>
    <row r="221" spans="1:78" ht="26.25" customHeight="1" x14ac:dyDescent="0.3">
      <c r="A221" s="13" t="s">
        <v>299</v>
      </c>
      <c r="B221" s="69"/>
      <c r="D221" s="39"/>
      <c r="E221" s="44"/>
      <c r="F221" s="39"/>
      <c r="G221" s="39"/>
      <c r="H221" s="39"/>
      <c r="I221" s="39"/>
      <c r="J221" s="218"/>
      <c r="K221" s="219"/>
      <c r="L221" s="717" t="s">
        <v>1114</v>
      </c>
      <c r="M221" s="717"/>
      <c r="N221" s="717"/>
      <c r="O221" s="717"/>
      <c r="P221" s="717"/>
      <c r="Q221" s="717"/>
      <c r="R221" s="717"/>
      <c r="S221" s="717"/>
      <c r="T221" s="717"/>
      <c r="U221" s="717"/>
      <c r="V221" s="717"/>
      <c r="W221" s="717"/>
      <c r="X221" s="717"/>
      <c r="Y221" s="717"/>
      <c r="Z221" s="717"/>
      <c r="AA221" s="717"/>
      <c r="AB221" s="717"/>
      <c r="AC221" s="717"/>
      <c r="AD221" s="717"/>
      <c r="AE221" s="717"/>
      <c r="AF221" s="717"/>
      <c r="AG221" s="717"/>
      <c r="AH221" s="717"/>
      <c r="AI221" s="717"/>
      <c r="AJ221" s="717"/>
      <c r="AK221" s="717"/>
      <c r="AL221" s="717"/>
      <c r="AM221" s="717"/>
      <c r="AN221" s="717"/>
      <c r="AO221" s="717"/>
      <c r="AP221" s="717"/>
      <c r="AQ221" s="717"/>
      <c r="AR221" s="717"/>
    </row>
    <row r="222" spans="1:78" ht="4.5" customHeight="1" x14ac:dyDescent="0.3">
      <c r="A222" s="13"/>
      <c r="B222" s="69"/>
      <c r="D222" s="31"/>
      <c r="E222" s="32"/>
      <c r="F222" s="33"/>
      <c r="G222" s="31"/>
      <c r="H222" s="31"/>
      <c r="I222" s="31"/>
      <c r="J222" s="215"/>
      <c r="K222" s="216"/>
      <c r="L222" s="216"/>
      <c r="M222" s="216"/>
      <c r="N222" s="216"/>
      <c r="O222" s="216"/>
      <c r="P222" s="216"/>
      <c r="Q222" s="216"/>
      <c r="R222" s="216"/>
      <c r="S222" s="216"/>
      <c r="T222" s="216"/>
      <c r="U222" s="216"/>
      <c r="V222" s="216"/>
      <c r="W222" s="216"/>
      <c r="X222" s="216"/>
      <c r="Y222" s="216"/>
      <c r="Z222" s="216"/>
      <c r="AA222" s="216"/>
      <c r="AB222" s="216"/>
      <c r="AC222" s="216"/>
      <c r="AD222" s="216"/>
      <c r="AE222" s="216"/>
      <c r="AF222" s="216"/>
      <c r="AG222" s="216"/>
      <c r="AH222" s="216"/>
      <c r="AI222" s="216"/>
      <c r="AJ222" s="216"/>
      <c r="AK222" s="216"/>
      <c r="AL222" s="216"/>
      <c r="AM222" s="216"/>
      <c r="AN222" s="216"/>
      <c r="AO222" s="216"/>
      <c r="AP222" s="216"/>
      <c r="AQ222" s="216"/>
      <c r="AR222" s="216"/>
    </row>
    <row r="223" spans="1:78" x14ac:dyDescent="0.3">
      <c r="A223" s="13"/>
      <c r="B223" s="69"/>
      <c r="E223" s="11"/>
      <c r="F223" s="13" t="s">
        <v>700</v>
      </c>
      <c r="J223" s="706" t="str">
        <f>IF(calculations!M12,"describe corrective action proposed to correct any Red Flag or Yellow Flag ranking",IF(calculations!N12,"describe corrective action proposed to correct any Red Flag or Yellow Flag ranking","we changed the criteria"))</f>
        <v>we changed the criteria</v>
      </c>
      <c r="K223" s="707"/>
      <c r="L223" s="707"/>
      <c r="M223" s="707"/>
      <c r="N223" s="707"/>
      <c r="O223" s="707"/>
      <c r="P223" s="707"/>
      <c r="Q223" s="707"/>
      <c r="R223" s="707"/>
      <c r="S223" s="707"/>
      <c r="T223" s="707"/>
      <c r="U223" s="707"/>
      <c r="V223" s="707"/>
      <c r="W223" s="707"/>
      <c r="X223" s="707"/>
      <c r="Y223" s="707"/>
      <c r="Z223" s="707"/>
      <c r="AA223" s="707"/>
      <c r="AB223" s="707"/>
      <c r="AC223" s="707"/>
      <c r="AD223" s="707"/>
      <c r="AE223" s="707"/>
      <c r="AF223" s="707"/>
      <c r="AG223" s="707"/>
      <c r="AH223" s="707"/>
      <c r="AI223" s="707"/>
      <c r="AJ223" s="707"/>
      <c r="AK223" s="707"/>
      <c r="AL223" s="707"/>
      <c r="AM223" s="707"/>
      <c r="AN223" s="707"/>
      <c r="AO223" s="707"/>
      <c r="AP223" s="707"/>
      <c r="AQ223" s="707"/>
      <c r="AR223" s="708"/>
    </row>
    <row r="224" spans="1:78" ht="4.5" customHeight="1" x14ac:dyDescent="0.3">
      <c r="A224" s="13"/>
      <c r="B224" s="69"/>
      <c r="E224" s="11"/>
      <c r="G224" s="38"/>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row>
    <row r="225" spans="1:44" ht="40.5" customHeight="1" x14ac:dyDescent="0.3">
      <c r="A225" s="13"/>
      <c r="B225" s="69"/>
      <c r="E225" s="11"/>
      <c r="F225" s="55" t="str">
        <f>IF(J225&gt;"","REC",IF(calculations!M12,"REC",IF(calculations!N12,"REC","")))</f>
        <v/>
      </c>
      <c r="G225" s="38"/>
      <c r="J225" s="724" t="str">
        <f>IF(calculations!M12=TRUE,Rec!E19,IF(calculations!N12=TRUE,Rec!E20,""))</f>
        <v/>
      </c>
      <c r="K225" s="725"/>
      <c r="L225" s="725"/>
      <c r="M225" s="725"/>
      <c r="N225" s="725"/>
      <c r="O225" s="725"/>
      <c r="P225" s="725"/>
      <c r="Q225" s="725"/>
      <c r="R225" s="725"/>
      <c r="S225" s="725"/>
      <c r="T225" s="725"/>
      <c r="U225" s="725"/>
      <c r="V225" s="725"/>
      <c r="W225" s="725"/>
      <c r="X225" s="725"/>
      <c r="Y225" s="725"/>
      <c r="Z225" s="725"/>
      <c r="AA225" s="725"/>
      <c r="AB225" s="725"/>
      <c r="AC225" s="725"/>
      <c r="AD225" s="725"/>
      <c r="AE225" s="725"/>
      <c r="AF225" s="725"/>
      <c r="AG225" s="725"/>
      <c r="AH225" s="725"/>
      <c r="AI225" s="725"/>
      <c r="AJ225" s="725"/>
      <c r="AK225" s="725"/>
      <c r="AL225" s="725"/>
      <c r="AM225" s="725"/>
      <c r="AN225" s="725"/>
      <c r="AO225" s="725"/>
      <c r="AP225" s="725"/>
      <c r="AQ225" s="725"/>
      <c r="AR225" s="726"/>
    </row>
    <row r="226" spans="1:44" ht="12.75" customHeight="1" x14ac:dyDescent="0.3">
      <c r="A226" s="13"/>
      <c r="B226" s="69"/>
      <c r="E226" s="11"/>
      <c r="F226" s="37"/>
    </row>
    <row r="227" spans="1:44" ht="14.15" x14ac:dyDescent="0.35">
      <c r="A227" s="232" t="s">
        <v>1991</v>
      </c>
      <c r="B227" s="69"/>
      <c r="D227" s="30" t="s">
        <v>714</v>
      </c>
      <c r="E227" s="11"/>
    </row>
    <row r="228" spans="1:44" ht="4.5" customHeight="1" x14ac:dyDescent="0.3">
      <c r="A228" s="13"/>
      <c r="B228" s="69"/>
      <c r="E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row>
    <row r="229" spans="1:44" ht="26.25" customHeight="1" x14ac:dyDescent="0.3">
      <c r="A229" s="13" t="s">
        <v>300</v>
      </c>
      <c r="B229" s="69"/>
      <c r="D229" s="31"/>
      <c r="E229" s="32"/>
      <c r="F229" s="33"/>
      <c r="G229" s="31"/>
      <c r="H229" s="31"/>
      <c r="I229" s="31"/>
      <c r="J229" s="215"/>
      <c r="K229" s="212"/>
      <c r="L229" s="717" t="str">
        <f>IF(calculations!B3=1,"No transportation of children is done by staff, volunteers, or vendors/contractors (it may be done by the school district if the JCC is not involved in any way).","No transportation of children is done by staff, volunteers, or vendors/contractors (it may be done by the school district if the YMCA is not involved in any way).")</f>
        <v>No transportation of children is done by staff, volunteers, or vendors/contractors (it may be done by the school district if the YMCA is not involved in any way).</v>
      </c>
      <c r="M229" s="717"/>
      <c r="N229" s="717"/>
      <c r="O229" s="717"/>
      <c r="P229" s="717"/>
      <c r="Q229" s="717"/>
      <c r="R229" s="717"/>
      <c r="S229" s="717"/>
      <c r="T229" s="717"/>
      <c r="U229" s="717"/>
      <c r="V229" s="717"/>
      <c r="W229" s="717"/>
      <c r="X229" s="717"/>
      <c r="Y229" s="717"/>
      <c r="Z229" s="717"/>
      <c r="AA229" s="717"/>
      <c r="AB229" s="717"/>
      <c r="AC229" s="717"/>
      <c r="AD229" s="717"/>
      <c r="AE229" s="717"/>
      <c r="AF229" s="717"/>
      <c r="AG229" s="717"/>
      <c r="AH229" s="717"/>
      <c r="AI229" s="717"/>
      <c r="AJ229" s="717"/>
      <c r="AK229" s="717"/>
      <c r="AL229" s="717"/>
      <c r="AM229" s="717"/>
      <c r="AN229" s="717"/>
      <c r="AO229" s="717"/>
      <c r="AP229" s="717"/>
      <c r="AQ229" s="717"/>
      <c r="AR229" s="717"/>
    </row>
    <row r="230" spans="1:44" ht="4.5" customHeight="1" x14ac:dyDescent="0.3">
      <c r="A230" s="13"/>
      <c r="B230" s="69"/>
      <c r="D230" s="31"/>
      <c r="E230" s="34"/>
      <c r="F230" s="31"/>
      <c r="G230" s="31"/>
      <c r="H230" s="31"/>
      <c r="I230" s="31"/>
      <c r="J230" s="215"/>
      <c r="K230" s="212"/>
      <c r="L230" s="212"/>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row>
    <row r="231" spans="1:44" ht="26.25" customHeight="1" x14ac:dyDescent="0.3">
      <c r="A231" s="13" t="s">
        <v>301</v>
      </c>
      <c r="B231" s="69"/>
      <c r="D231" s="31"/>
      <c r="E231" s="32"/>
      <c r="F231" s="33"/>
      <c r="G231" s="31"/>
      <c r="H231" s="31"/>
      <c r="I231" s="31"/>
      <c r="J231" s="215"/>
      <c r="K231" s="212"/>
      <c r="L231" s="717" t="s">
        <v>1115</v>
      </c>
      <c r="M231" s="717"/>
      <c r="N231" s="717"/>
      <c r="O231" s="717"/>
      <c r="P231" s="717"/>
      <c r="Q231" s="717"/>
      <c r="R231" s="717"/>
      <c r="S231" s="717"/>
      <c r="T231" s="717"/>
      <c r="U231" s="717"/>
      <c r="V231" s="717"/>
      <c r="W231" s="717"/>
      <c r="X231" s="717"/>
      <c r="Y231" s="717"/>
      <c r="Z231" s="717"/>
      <c r="AA231" s="717"/>
      <c r="AB231" s="717"/>
      <c r="AC231" s="717"/>
      <c r="AD231" s="717"/>
      <c r="AE231" s="717"/>
      <c r="AF231" s="717"/>
      <c r="AG231" s="717"/>
      <c r="AH231" s="717"/>
      <c r="AI231" s="717"/>
      <c r="AJ231" s="717"/>
      <c r="AK231" s="717"/>
      <c r="AL231" s="717"/>
      <c r="AM231" s="717"/>
      <c r="AN231" s="717"/>
      <c r="AO231" s="717"/>
      <c r="AP231" s="717"/>
      <c r="AQ231" s="717"/>
      <c r="AR231" s="717"/>
    </row>
    <row r="232" spans="1:44" ht="5.25" customHeight="1" x14ac:dyDescent="0.3">
      <c r="A232" s="13"/>
      <c r="B232" s="69"/>
      <c r="D232" s="31"/>
      <c r="E232" s="32"/>
      <c r="F232" s="33"/>
      <c r="G232" s="31"/>
      <c r="H232" s="31"/>
      <c r="I232" s="31"/>
      <c r="J232" s="215"/>
      <c r="K232" s="212"/>
      <c r="L232" s="212"/>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row>
    <row r="233" spans="1:44" ht="26.25" customHeight="1" x14ac:dyDescent="0.3">
      <c r="A233" s="13" t="s">
        <v>302</v>
      </c>
      <c r="B233" s="69"/>
      <c r="D233" s="31"/>
      <c r="E233" s="34"/>
      <c r="F233" s="31"/>
      <c r="G233" s="31"/>
      <c r="H233" s="31"/>
      <c r="I233" s="31"/>
      <c r="J233" s="215"/>
      <c r="K233" s="212"/>
      <c r="L233" s="717" t="s">
        <v>1116</v>
      </c>
      <c r="M233" s="717"/>
      <c r="N233" s="717"/>
      <c r="O233" s="717"/>
      <c r="P233" s="717"/>
      <c r="Q233" s="717"/>
      <c r="R233" s="717"/>
      <c r="S233" s="717"/>
      <c r="T233" s="717"/>
      <c r="U233" s="717"/>
      <c r="V233" s="717"/>
      <c r="W233" s="717"/>
      <c r="X233" s="717"/>
      <c r="Y233" s="717"/>
      <c r="Z233" s="717"/>
      <c r="AA233" s="717"/>
      <c r="AB233" s="717"/>
      <c r="AC233" s="717"/>
      <c r="AD233" s="717"/>
      <c r="AE233" s="717"/>
      <c r="AF233" s="717"/>
      <c r="AG233" s="717"/>
      <c r="AH233" s="717"/>
      <c r="AI233" s="717"/>
      <c r="AJ233" s="717"/>
      <c r="AK233" s="717"/>
      <c r="AL233" s="717"/>
      <c r="AM233" s="717"/>
      <c r="AN233" s="717"/>
      <c r="AO233" s="717"/>
      <c r="AP233" s="717"/>
      <c r="AQ233" s="717"/>
      <c r="AR233" s="717"/>
    </row>
    <row r="234" spans="1:44" ht="4.5" customHeight="1" x14ac:dyDescent="0.3">
      <c r="A234" s="13"/>
      <c r="B234" s="69"/>
      <c r="D234" s="31"/>
      <c r="E234" s="34"/>
      <c r="F234" s="31"/>
      <c r="G234" s="31"/>
      <c r="H234" s="31"/>
      <c r="I234" s="31"/>
      <c r="J234" s="215"/>
      <c r="K234" s="212"/>
      <c r="L234" s="212"/>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row>
    <row r="235" spans="1:44" ht="74.25" customHeight="1" x14ac:dyDescent="0.3">
      <c r="A235" s="13" t="s">
        <v>303</v>
      </c>
      <c r="B235" s="69"/>
      <c r="D235" s="31"/>
      <c r="E235" s="32"/>
      <c r="F235" s="33"/>
      <c r="G235" s="31"/>
      <c r="H235" s="31"/>
      <c r="I235" s="31"/>
      <c r="J235" s="215"/>
      <c r="K235" s="212"/>
      <c r="L235" s="717" t="s">
        <v>1968</v>
      </c>
      <c r="M235" s="717"/>
      <c r="N235" s="717"/>
      <c r="O235" s="717"/>
      <c r="P235" s="717"/>
      <c r="Q235" s="717"/>
      <c r="R235" s="717"/>
      <c r="S235" s="717"/>
      <c r="T235" s="717"/>
      <c r="U235" s="717"/>
      <c r="V235" s="717"/>
      <c r="W235" s="717"/>
      <c r="X235" s="717"/>
      <c r="Y235" s="717"/>
      <c r="Z235" s="717"/>
      <c r="AA235" s="717"/>
      <c r="AB235" s="717"/>
      <c r="AC235" s="717"/>
      <c r="AD235" s="717"/>
      <c r="AE235" s="717"/>
      <c r="AF235" s="717"/>
      <c r="AG235" s="717"/>
      <c r="AH235" s="717"/>
      <c r="AI235" s="717"/>
      <c r="AJ235" s="717"/>
      <c r="AK235" s="717"/>
      <c r="AL235" s="717"/>
      <c r="AM235" s="717"/>
      <c r="AN235" s="717"/>
      <c r="AO235" s="717"/>
      <c r="AP235" s="717"/>
      <c r="AQ235" s="717"/>
      <c r="AR235" s="717"/>
    </row>
    <row r="236" spans="1:44" ht="1.5" hidden="1" customHeight="1" x14ac:dyDescent="0.3">
      <c r="A236" s="13"/>
      <c r="B236" s="69"/>
      <c r="E236" s="35"/>
      <c r="J236" s="214"/>
      <c r="K236" s="212"/>
      <c r="L236" s="717"/>
      <c r="M236" s="717"/>
      <c r="N236" s="717"/>
      <c r="O236" s="717"/>
      <c r="P236" s="717"/>
      <c r="Q236" s="717"/>
      <c r="R236" s="717"/>
      <c r="S236" s="717"/>
      <c r="T236" s="717"/>
      <c r="U236" s="717"/>
      <c r="V236" s="717"/>
      <c r="W236" s="717"/>
      <c r="X236" s="717"/>
      <c r="Y236" s="717"/>
      <c r="Z236" s="717"/>
      <c r="AA236" s="717"/>
      <c r="AB236" s="717"/>
      <c r="AC236" s="717"/>
      <c r="AD236" s="717"/>
      <c r="AE236" s="717"/>
      <c r="AF236" s="717"/>
      <c r="AG236" s="717"/>
      <c r="AH236" s="717"/>
      <c r="AI236" s="717"/>
      <c r="AJ236" s="717"/>
      <c r="AK236" s="717"/>
      <c r="AL236" s="717"/>
      <c r="AM236" s="717"/>
      <c r="AN236" s="717"/>
      <c r="AO236" s="717"/>
      <c r="AP236" s="717"/>
      <c r="AQ236" s="717"/>
      <c r="AR236" s="717"/>
    </row>
    <row r="237" spans="1:44" ht="13.5" hidden="1" customHeight="1" x14ac:dyDescent="0.3">
      <c r="A237" s="13"/>
      <c r="B237" s="69"/>
      <c r="E237" s="11"/>
      <c r="F237" s="3"/>
      <c r="J237" s="214"/>
      <c r="K237" s="212"/>
      <c r="L237" s="717"/>
      <c r="M237" s="717"/>
      <c r="N237" s="717"/>
      <c r="O237" s="717"/>
      <c r="P237" s="717"/>
      <c r="Q237" s="717"/>
      <c r="R237" s="717"/>
      <c r="S237" s="717"/>
      <c r="T237" s="717"/>
      <c r="U237" s="717"/>
      <c r="V237" s="717"/>
      <c r="W237" s="717"/>
      <c r="X237" s="717"/>
      <c r="Y237" s="717"/>
      <c r="Z237" s="717"/>
      <c r="AA237" s="717"/>
      <c r="AB237" s="717"/>
      <c r="AC237" s="717"/>
      <c r="AD237" s="717"/>
      <c r="AE237" s="717"/>
      <c r="AF237" s="717"/>
      <c r="AG237" s="717"/>
      <c r="AH237" s="717"/>
      <c r="AI237" s="717"/>
      <c r="AJ237" s="717"/>
      <c r="AK237" s="717"/>
      <c r="AL237" s="717"/>
      <c r="AM237" s="717"/>
      <c r="AN237" s="717"/>
      <c r="AO237" s="717"/>
      <c r="AP237" s="717"/>
      <c r="AQ237" s="717"/>
      <c r="AR237" s="717"/>
    </row>
    <row r="238" spans="1:44" ht="12.75" hidden="1" customHeight="1" x14ac:dyDescent="0.3">
      <c r="A238" s="13"/>
      <c r="B238" s="69"/>
      <c r="E238" s="11"/>
      <c r="J238" s="214"/>
      <c r="K238" s="212"/>
      <c r="L238" s="717"/>
      <c r="M238" s="717"/>
      <c r="N238" s="717"/>
      <c r="O238" s="717"/>
      <c r="P238" s="717"/>
      <c r="Q238" s="717"/>
      <c r="R238" s="717"/>
      <c r="S238" s="717"/>
      <c r="T238" s="717"/>
      <c r="U238" s="717"/>
      <c r="V238" s="717"/>
      <c r="W238" s="717"/>
      <c r="X238" s="717"/>
      <c r="Y238" s="717"/>
      <c r="Z238" s="717"/>
      <c r="AA238" s="717"/>
      <c r="AB238" s="717"/>
      <c r="AC238" s="717"/>
      <c r="AD238" s="717"/>
      <c r="AE238" s="717"/>
      <c r="AF238" s="717"/>
      <c r="AG238" s="717"/>
      <c r="AH238" s="717"/>
      <c r="AI238" s="717"/>
      <c r="AJ238" s="717"/>
      <c r="AK238" s="717"/>
      <c r="AL238" s="717"/>
      <c r="AM238" s="717"/>
      <c r="AN238" s="717"/>
      <c r="AO238" s="717"/>
      <c r="AP238" s="717"/>
      <c r="AQ238" s="717"/>
      <c r="AR238" s="717"/>
    </row>
    <row r="239" spans="1:44" ht="4.5" customHeight="1" x14ac:dyDescent="0.3">
      <c r="A239" s="13"/>
      <c r="B239" s="69"/>
      <c r="D239" s="39"/>
      <c r="E239" s="44"/>
      <c r="F239" s="39"/>
      <c r="G239" s="39"/>
      <c r="H239" s="39"/>
      <c r="I239" s="39"/>
      <c r="J239" s="218"/>
      <c r="K239" s="219"/>
      <c r="L239" s="212"/>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row>
    <row r="240" spans="1:44" ht="86.25" customHeight="1" x14ac:dyDescent="0.3">
      <c r="A240" s="13" t="s">
        <v>304</v>
      </c>
      <c r="B240" s="69"/>
      <c r="D240" s="31"/>
      <c r="E240" s="32"/>
      <c r="F240" s="33"/>
      <c r="G240" s="31"/>
      <c r="H240" s="31"/>
      <c r="I240" s="31"/>
      <c r="J240" s="215"/>
      <c r="K240" s="212"/>
      <c r="L240" s="717" t="s">
        <v>1969</v>
      </c>
      <c r="M240" s="717"/>
      <c r="N240" s="717"/>
      <c r="O240" s="717"/>
      <c r="P240" s="717"/>
      <c r="Q240" s="717"/>
      <c r="R240" s="717"/>
      <c r="S240" s="717"/>
      <c r="T240" s="717"/>
      <c r="U240" s="717"/>
      <c r="V240" s="717"/>
      <c r="W240" s="717"/>
      <c r="X240" s="717"/>
      <c r="Y240" s="717"/>
      <c r="Z240" s="717"/>
      <c r="AA240" s="717"/>
      <c r="AB240" s="717"/>
      <c r="AC240" s="717"/>
      <c r="AD240" s="717"/>
      <c r="AE240" s="717"/>
      <c r="AF240" s="717"/>
      <c r="AG240" s="717"/>
      <c r="AH240" s="717"/>
      <c r="AI240" s="717"/>
      <c r="AJ240" s="717"/>
      <c r="AK240" s="717"/>
      <c r="AL240" s="717"/>
      <c r="AM240" s="717"/>
      <c r="AN240" s="717"/>
      <c r="AO240" s="717"/>
      <c r="AP240" s="717"/>
      <c r="AQ240" s="717"/>
      <c r="AR240" s="717"/>
    </row>
    <row r="241" spans="1:48" ht="12.75" hidden="1" customHeight="1" x14ac:dyDescent="0.3">
      <c r="A241" s="13"/>
      <c r="B241" s="69"/>
      <c r="E241" s="11"/>
      <c r="J241" s="214"/>
      <c r="K241" s="212"/>
      <c r="L241" s="717"/>
      <c r="M241" s="717"/>
      <c r="N241" s="717"/>
      <c r="O241" s="717"/>
      <c r="P241" s="717"/>
      <c r="Q241" s="717"/>
      <c r="R241" s="717"/>
      <c r="S241" s="717"/>
      <c r="T241" s="717"/>
      <c r="U241" s="717"/>
      <c r="V241" s="717"/>
      <c r="W241" s="717"/>
      <c r="X241" s="717"/>
      <c r="Y241" s="717"/>
      <c r="Z241" s="717"/>
      <c r="AA241" s="717"/>
      <c r="AB241" s="717"/>
      <c r="AC241" s="717"/>
      <c r="AD241" s="717"/>
      <c r="AE241" s="717"/>
      <c r="AF241" s="717"/>
      <c r="AG241" s="717"/>
      <c r="AH241" s="717"/>
      <c r="AI241" s="717"/>
      <c r="AJ241" s="717"/>
      <c r="AK241" s="717"/>
      <c r="AL241" s="717"/>
      <c r="AM241" s="717"/>
      <c r="AN241" s="717"/>
      <c r="AO241" s="717"/>
      <c r="AP241" s="717"/>
      <c r="AQ241" s="717"/>
      <c r="AR241" s="717"/>
    </row>
    <row r="242" spans="1:48" ht="12.75" hidden="1" customHeight="1" x14ac:dyDescent="0.3">
      <c r="A242" s="13"/>
      <c r="B242" s="69"/>
      <c r="E242" s="11"/>
      <c r="J242" s="214"/>
      <c r="K242" s="212"/>
      <c r="L242" s="717"/>
      <c r="M242" s="717"/>
      <c r="N242" s="717"/>
      <c r="O242" s="717"/>
      <c r="P242" s="717"/>
      <c r="Q242" s="717"/>
      <c r="R242" s="717"/>
      <c r="S242" s="717"/>
      <c r="T242" s="717"/>
      <c r="U242" s="717"/>
      <c r="V242" s="717"/>
      <c r="W242" s="717"/>
      <c r="X242" s="717"/>
      <c r="Y242" s="717"/>
      <c r="Z242" s="717"/>
      <c r="AA242" s="717"/>
      <c r="AB242" s="717"/>
      <c r="AC242" s="717"/>
      <c r="AD242" s="717"/>
      <c r="AE242" s="717"/>
      <c r="AF242" s="717"/>
      <c r="AG242" s="717"/>
      <c r="AH242" s="717"/>
      <c r="AI242" s="717"/>
      <c r="AJ242" s="717"/>
      <c r="AK242" s="717"/>
      <c r="AL242" s="717"/>
      <c r="AM242" s="717"/>
      <c r="AN242" s="717"/>
      <c r="AO242" s="717"/>
      <c r="AP242" s="717"/>
      <c r="AQ242" s="717"/>
      <c r="AR242" s="717"/>
    </row>
    <row r="243" spans="1:48" ht="4.5" customHeight="1" x14ac:dyDescent="0.3">
      <c r="A243" s="13"/>
      <c r="B243" s="69"/>
      <c r="E243" s="11"/>
      <c r="J243" s="214"/>
      <c r="K243" s="212"/>
      <c r="L243" s="212"/>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row>
    <row r="244" spans="1:48" ht="26.25" customHeight="1" x14ac:dyDescent="0.3">
      <c r="A244" s="13" t="s">
        <v>305</v>
      </c>
      <c r="B244" s="69"/>
      <c r="E244" s="32"/>
      <c r="F244" s="3"/>
      <c r="J244" s="214"/>
      <c r="K244" s="212"/>
      <c r="L244" s="717" t="s">
        <v>1117</v>
      </c>
      <c r="M244" s="717"/>
      <c r="N244" s="717"/>
      <c r="O244" s="717"/>
      <c r="P244" s="717"/>
      <c r="Q244" s="717"/>
      <c r="R244" s="717"/>
      <c r="S244" s="717"/>
      <c r="T244" s="717"/>
      <c r="U244" s="717"/>
      <c r="V244" s="717"/>
      <c r="W244" s="717"/>
      <c r="X244" s="717"/>
      <c r="Y244" s="717"/>
      <c r="Z244" s="717"/>
      <c r="AA244" s="717"/>
      <c r="AB244" s="717"/>
      <c r="AC244" s="717"/>
      <c r="AD244" s="717"/>
      <c r="AE244" s="717"/>
      <c r="AF244" s="717"/>
      <c r="AG244" s="717"/>
      <c r="AH244" s="717"/>
      <c r="AI244" s="717"/>
      <c r="AJ244" s="717"/>
      <c r="AK244" s="717"/>
      <c r="AL244" s="717"/>
      <c r="AM244" s="717"/>
      <c r="AN244" s="717"/>
      <c r="AO244" s="717"/>
      <c r="AP244" s="717"/>
      <c r="AQ244" s="717"/>
      <c r="AR244" s="717"/>
    </row>
    <row r="245" spans="1:48" ht="4.5" customHeight="1" x14ac:dyDescent="0.3">
      <c r="A245" s="13"/>
      <c r="B245" s="69"/>
      <c r="E245" s="11"/>
      <c r="J245" s="214"/>
      <c r="K245" s="216"/>
      <c r="L245" s="216"/>
      <c r="M245" s="216"/>
      <c r="N245" s="216"/>
      <c r="O245" s="216"/>
      <c r="P245" s="216"/>
      <c r="Q245" s="216"/>
      <c r="R245" s="216"/>
      <c r="S245" s="216"/>
      <c r="T245" s="216"/>
      <c r="U245" s="216"/>
      <c r="V245" s="216"/>
      <c r="W245" s="216"/>
      <c r="X245" s="216"/>
      <c r="Y245" s="216"/>
      <c r="Z245" s="216"/>
      <c r="AA245" s="216"/>
      <c r="AB245" s="216"/>
      <c r="AC245" s="216"/>
      <c r="AD245" s="216"/>
      <c r="AE245" s="216"/>
      <c r="AF245" s="216"/>
      <c r="AG245" s="216"/>
      <c r="AH245" s="216"/>
      <c r="AI245" s="216"/>
      <c r="AJ245" s="216"/>
      <c r="AK245" s="216"/>
      <c r="AL245" s="216"/>
      <c r="AM245" s="216"/>
      <c r="AN245" s="216"/>
      <c r="AO245" s="216"/>
      <c r="AP245" s="216"/>
      <c r="AQ245" s="216"/>
      <c r="AR245" s="216"/>
    </row>
    <row r="246" spans="1:48" x14ac:dyDescent="0.3">
      <c r="A246" s="13"/>
      <c r="B246" s="69"/>
      <c r="E246" s="11"/>
      <c r="F246" s="13" t="s">
        <v>700</v>
      </c>
      <c r="J246" s="706" t="str">
        <f>IF(calculations!M13,"describe corrective action proposed to correct any Red Flag or Yellow Flag ranking",IF(calculations!N13,"describe corrective action proposed to correct any Red Flag or Yellow Flag ranking",""))</f>
        <v/>
      </c>
      <c r="K246" s="707"/>
      <c r="L246" s="707"/>
      <c r="M246" s="707"/>
      <c r="N246" s="707"/>
      <c r="O246" s="707"/>
      <c r="P246" s="707"/>
      <c r="Q246" s="707"/>
      <c r="R246" s="707"/>
      <c r="S246" s="707"/>
      <c r="T246" s="707"/>
      <c r="U246" s="707"/>
      <c r="V246" s="707"/>
      <c r="W246" s="707"/>
      <c r="X246" s="707"/>
      <c r="Y246" s="707"/>
      <c r="Z246" s="707"/>
      <c r="AA246" s="707"/>
      <c r="AB246" s="707"/>
      <c r="AC246" s="707"/>
      <c r="AD246" s="707"/>
      <c r="AE246" s="707"/>
      <c r="AF246" s="707"/>
      <c r="AG246" s="707"/>
      <c r="AH246" s="707"/>
      <c r="AI246" s="707"/>
      <c r="AJ246" s="707"/>
      <c r="AK246" s="707"/>
      <c r="AL246" s="707"/>
      <c r="AM246" s="707"/>
      <c r="AN246" s="707"/>
      <c r="AO246" s="707"/>
      <c r="AP246" s="707"/>
      <c r="AQ246" s="707"/>
      <c r="AR246" s="708"/>
    </row>
    <row r="247" spans="1:48" ht="4.5" customHeight="1" x14ac:dyDescent="0.3">
      <c r="A247" s="13"/>
      <c r="B247" s="69"/>
      <c r="E247" s="11"/>
      <c r="G247" s="38"/>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row>
    <row r="248" spans="1:48" ht="90" customHeight="1" x14ac:dyDescent="0.3">
      <c r="A248" s="13"/>
      <c r="B248" s="69"/>
      <c r="E248" s="11"/>
      <c r="F248" s="55" t="str">
        <f>IF(J248&gt;"","REC",IF(calculations!M13,"REC",IF(calculations!N13,"REC","")))</f>
        <v/>
      </c>
      <c r="G248" s="38"/>
      <c r="J248" s="724" t="str">
        <f>IF(calculations!M13=TRUE,Rec!E21,IF(calculations!N13=TRUE,Rec!E22,""))</f>
        <v/>
      </c>
      <c r="K248" s="725"/>
      <c r="L248" s="725"/>
      <c r="M248" s="725"/>
      <c r="N248" s="725"/>
      <c r="O248" s="725"/>
      <c r="P248" s="725"/>
      <c r="Q248" s="725"/>
      <c r="R248" s="725"/>
      <c r="S248" s="725"/>
      <c r="T248" s="725"/>
      <c r="U248" s="725"/>
      <c r="V248" s="725"/>
      <c r="W248" s="725"/>
      <c r="X248" s="725"/>
      <c r="Y248" s="725"/>
      <c r="Z248" s="725"/>
      <c r="AA248" s="725"/>
      <c r="AB248" s="725"/>
      <c r="AC248" s="725"/>
      <c r="AD248" s="725"/>
      <c r="AE248" s="725"/>
      <c r="AF248" s="725"/>
      <c r="AG248" s="725"/>
      <c r="AH248" s="725"/>
      <c r="AI248" s="725"/>
      <c r="AJ248" s="725"/>
      <c r="AK248" s="725"/>
      <c r="AL248" s="725"/>
      <c r="AM248" s="725"/>
      <c r="AN248" s="725"/>
      <c r="AO248" s="725"/>
      <c r="AP248" s="725"/>
      <c r="AQ248" s="725"/>
      <c r="AR248" s="726"/>
    </row>
    <row r="249" spans="1:48" ht="12.75" customHeight="1" x14ac:dyDescent="0.3">
      <c r="A249" s="13"/>
      <c r="B249" s="69"/>
      <c r="E249" s="11"/>
      <c r="F249" s="37"/>
    </row>
    <row r="250" spans="1:48" ht="26.25" customHeight="1" x14ac:dyDescent="0.3">
      <c r="A250" s="732" t="s">
        <v>306</v>
      </c>
      <c r="B250" s="733"/>
      <c r="C250" s="733"/>
      <c r="D250" s="733"/>
      <c r="E250" s="733"/>
      <c r="F250" s="733"/>
      <c r="G250" s="733"/>
      <c r="H250" s="733"/>
      <c r="I250" s="733"/>
      <c r="J250" s="733"/>
      <c r="K250" s="733"/>
      <c r="L250" s="733"/>
      <c r="M250" s="733"/>
      <c r="N250" s="733"/>
      <c r="O250" s="733"/>
      <c r="P250" s="733"/>
      <c r="Q250" s="733"/>
      <c r="R250" s="733"/>
      <c r="S250" s="733"/>
      <c r="T250" s="733"/>
      <c r="U250" s="733"/>
      <c r="V250" s="733"/>
      <c r="W250" s="733"/>
      <c r="X250" s="733"/>
      <c r="Y250" s="733"/>
      <c r="Z250" s="733"/>
      <c r="AA250" s="733"/>
      <c r="AB250" s="733"/>
      <c r="AC250" s="733"/>
      <c r="AD250" s="733"/>
      <c r="AE250" s="733"/>
      <c r="AF250" s="733"/>
      <c r="AG250" s="733"/>
      <c r="AH250" s="733"/>
      <c r="AI250" s="733"/>
      <c r="AJ250" s="733"/>
      <c r="AK250" s="733"/>
      <c r="AL250" s="733"/>
      <c r="AM250" s="733"/>
      <c r="AN250" s="733"/>
      <c r="AO250" s="733"/>
      <c r="AP250" s="733"/>
      <c r="AQ250" s="733"/>
      <c r="AR250" s="733"/>
      <c r="AS250" s="102"/>
      <c r="AT250" s="80"/>
      <c r="AU250" s="39"/>
      <c r="AV250" s="39"/>
    </row>
    <row r="251" spans="1:48" ht="12.9" x14ac:dyDescent="0.3">
      <c r="A251" s="77"/>
      <c r="B251" s="39"/>
      <c r="C251" s="39"/>
      <c r="D251" s="39"/>
      <c r="E251" s="40"/>
      <c r="F251" s="41"/>
      <c r="G251" s="42"/>
      <c r="H251" s="39"/>
      <c r="I251" s="39"/>
      <c r="J251" s="39"/>
      <c r="K251" s="39"/>
      <c r="L251" s="39"/>
      <c r="M251" s="39"/>
      <c r="N251" s="39"/>
      <c r="O251" s="39"/>
      <c r="P251" s="39"/>
      <c r="Q251" s="43" t="str">
        <f>IF(calculations!B26=FALSE,"",IF(SUM(calculations!G15:G26)&gt;0,"IF THIS BOX IS CHECKED NO OTHER AQUATIC GRADES MAY BE ENTERED",""))</f>
        <v/>
      </c>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102"/>
      <c r="AT251" s="80"/>
      <c r="AU251" s="39"/>
      <c r="AV251" s="39"/>
    </row>
    <row r="252" spans="1:48" x14ac:dyDescent="0.3">
      <c r="A252" s="77"/>
      <c r="B252" s="39"/>
      <c r="C252" s="39"/>
      <c r="D252" s="39"/>
      <c r="E252" s="44"/>
      <c r="F252" s="39"/>
      <c r="G252" s="39"/>
      <c r="H252" s="39"/>
      <c r="I252" s="39"/>
      <c r="J252" s="39"/>
      <c r="K252" s="39"/>
      <c r="L252" s="39"/>
      <c r="M252" s="39"/>
      <c r="N252" s="39"/>
      <c r="O252" s="39"/>
      <c r="P252" s="39"/>
      <c r="Q252" s="39"/>
      <c r="R252" s="39"/>
      <c r="S252" s="39"/>
      <c r="T252" s="39"/>
      <c r="U252" s="39"/>
      <c r="V252" s="39"/>
      <c r="W252" s="39"/>
      <c r="X252" s="39"/>
      <c r="Y252" s="45"/>
      <c r="Z252" s="45"/>
      <c r="AA252" s="45"/>
      <c r="AB252" s="39"/>
      <c r="AC252" s="691" t="s">
        <v>693</v>
      </c>
      <c r="AD252" s="692"/>
      <c r="AE252" s="692"/>
      <c r="AF252" s="692"/>
      <c r="AG252" s="692"/>
      <c r="AH252" s="693"/>
      <c r="AI252"/>
      <c r="AJ252" s="691" t="s">
        <v>694</v>
      </c>
      <c r="AK252" s="692"/>
      <c r="AL252" s="692"/>
      <c r="AM252" s="692"/>
      <c r="AN252" s="692"/>
      <c r="AO252" s="692"/>
      <c r="AP252" s="692"/>
      <c r="AQ252" s="692"/>
      <c r="AR252" s="693"/>
      <c r="AS252" s="102"/>
      <c r="AT252" s="80"/>
      <c r="AU252" s="39"/>
      <c r="AV252" s="39"/>
    </row>
    <row r="253" spans="1:48" x14ac:dyDescent="0.3">
      <c r="A253" s="77"/>
      <c r="B253" s="39"/>
      <c r="C253" s="39"/>
      <c r="D253" s="39"/>
      <c r="E253" s="44"/>
      <c r="F253" s="39"/>
      <c r="G253" s="39"/>
      <c r="H253" s="39"/>
      <c r="I253" s="39"/>
      <c r="J253" s="39"/>
      <c r="K253" s="39"/>
      <c r="L253" s="39"/>
      <c r="M253" s="39"/>
      <c r="N253" s="39"/>
      <c r="O253" s="39"/>
      <c r="P253" s="39"/>
      <c r="Q253" s="39"/>
      <c r="R253" s="39"/>
      <c r="S253" s="39"/>
      <c r="T253" s="39"/>
      <c r="U253" s="39"/>
      <c r="V253" s="39"/>
      <c r="W253" s="39"/>
      <c r="X253" s="39"/>
      <c r="Y253" s="45"/>
      <c r="Z253" s="45"/>
      <c r="AA253" s="45"/>
      <c r="AB253" s="39"/>
      <c r="AC253" s="39"/>
      <c r="AD253" s="39"/>
      <c r="AE253" s="39"/>
      <c r="AF253" s="39"/>
      <c r="AG253" s="39"/>
      <c r="AH253" s="39"/>
      <c r="AI253" s="39"/>
      <c r="AJ253" s="745" t="s">
        <v>695</v>
      </c>
      <c r="AK253" s="746"/>
      <c r="AL253" s="746"/>
      <c r="AM253" s="746"/>
      <c r="AN253" s="746"/>
      <c r="AO253" s="746"/>
      <c r="AP253" s="746"/>
      <c r="AQ253" s="746"/>
      <c r="AR253" s="747"/>
      <c r="AS253" s="102"/>
      <c r="AT253" s="80"/>
      <c r="AU253" s="39"/>
      <c r="AV253" s="39"/>
    </row>
    <row r="254" spans="1:48" x14ac:dyDescent="0.3">
      <c r="A254" s="77"/>
      <c r="B254" s="39"/>
      <c r="C254" s="39"/>
      <c r="D254" s="39"/>
      <c r="E254" s="44"/>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102"/>
      <c r="AT254" s="80"/>
      <c r="AU254" s="39"/>
      <c r="AV254" s="39"/>
    </row>
    <row r="255" spans="1:48" ht="14.15" x14ac:dyDescent="0.35">
      <c r="A255" s="743">
        <v>2.1</v>
      </c>
      <c r="B255" s="743"/>
      <c r="C255" s="39"/>
      <c r="D255" s="47" t="s">
        <v>716</v>
      </c>
      <c r="E255" s="44"/>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102"/>
      <c r="AT255" s="80"/>
      <c r="AU255" s="39"/>
      <c r="AV255" s="39"/>
    </row>
    <row r="256" spans="1:48" ht="4.5" customHeight="1" x14ac:dyDescent="0.3">
      <c r="A256" s="48"/>
      <c r="B256" s="70"/>
      <c r="E256" s="11"/>
      <c r="K256" s="11"/>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102"/>
      <c r="AT256" s="80"/>
      <c r="AU256" s="39"/>
      <c r="AV256" s="39"/>
    </row>
    <row r="257" spans="1:48" ht="24.75" customHeight="1" x14ac:dyDescent="0.3">
      <c r="A257" s="48" t="s">
        <v>12</v>
      </c>
      <c r="B257" s="70"/>
      <c r="C257" s="31"/>
      <c r="D257" s="31"/>
      <c r="E257" s="32"/>
      <c r="F257" s="33"/>
      <c r="G257" s="31"/>
      <c r="H257" s="31"/>
      <c r="I257" s="31"/>
      <c r="J257" s="215"/>
      <c r="K257" s="212"/>
      <c r="L257" s="731" t="s">
        <v>1118</v>
      </c>
      <c r="M257" s="731"/>
      <c r="N257" s="731"/>
      <c r="O257" s="731"/>
      <c r="P257" s="731"/>
      <c r="Q257" s="731"/>
      <c r="R257" s="731"/>
      <c r="S257" s="731"/>
      <c r="T257" s="731"/>
      <c r="U257" s="731"/>
      <c r="V257" s="731"/>
      <c r="W257" s="731"/>
      <c r="X257" s="731"/>
      <c r="Y257" s="731"/>
      <c r="Z257" s="731"/>
      <c r="AA257" s="731"/>
      <c r="AB257" s="731"/>
      <c r="AC257" s="731"/>
      <c r="AD257" s="731"/>
      <c r="AE257" s="731"/>
      <c r="AF257" s="731"/>
      <c r="AG257" s="731"/>
      <c r="AH257" s="731"/>
      <c r="AI257" s="731"/>
      <c r="AJ257" s="731"/>
      <c r="AK257" s="731"/>
      <c r="AL257" s="731"/>
      <c r="AM257" s="731"/>
      <c r="AN257" s="731"/>
      <c r="AO257" s="731"/>
      <c r="AP257" s="731"/>
      <c r="AQ257" s="731"/>
      <c r="AR257" s="731"/>
      <c r="AS257" s="102"/>
      <c r="AT257" s="80"/>
      <c r="AU257" s="39"/>
      <c r="AV257" s="39"/>
    </row>
    <row r="258" spans="1:48" ht="4.5" customHeight="1" x14ac:dyDescent="0.3">
      <c r="A258" s="48"/>
      <c r="B258" s="70"/>
      <c r="C258" s="31"/>
      <c r="D258" s="31"/>
      <c r="E258" s="34"/>
      <c r="F258" s="31"/>
      <c r="G258" s="31"/>
      <c r="H258" s="31"/>
      <c r="I258" s="31"/>
      <c r="J258" s="215"/>
      <c r="K258" s="212"/>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102"/>
      <c r="AT258" s="80"/>
      <c r="AU258" s="39"/>
      <c r="AV258" s="39"/>
    </row>
    <row r="259" spans="1:48" ht="109.5" customHeight="1" x14ac:dyDescent="0.3">
      <c r="A259" s="48" t="s">
        <v>13</v>
      </c>
      <c r="B259" s="70"/>
      <c r="C259" s="31"/>
      <c r="D259" s="31"/>
      <c r="E259" s="32"/>
      <c r="F259" s="33"/>
      <c r="G259" s="31"/>
      <c r="H259" s="31"/>
      <c r="I259" s="31"/>
      <c r="J259" s="215"/>
      <c r="K259" s="212"/>
      <c r="L259" s="731" t="s">
        <v>1120</v>
      </c>
      <c r="M259" s="731"/>
      <c r="N259" s="731"/>
      <c r="O259" s="731"/>
      <c r="P259" s="731"/>
      <c r="Q259" s="731"/>
      <c r="R259" s="731"/>
      <c r="S259" s="731"/>
      <c r="T259" s="731"/>
      <c r="U259" s="731"/>
      <c r="V259" s="731"/>
      <c r="W259" s="731"/>
      <c r="X259" s="731"/>
      <c r="Y259" s="731"/>
      <c r="Z259" s="731"/>
      <c r="AA259" s="731"/>
      <c r="AB259" s="731"/>
      <c r="AC259" s="731"/>
      <c r="AD259" s="731"/>
      <c r="AE259" s="731"/>
      <c r="AF259" s="731"/>
      <c r="AG259" s="731"/>
      <c r="AH259" s="731"/>
      <c r="AI259" s="731"/>
      <c r="AJ259" s="731"/>
      <c r="AK259" s="731"/>
      <c r="AL259" s="731"/>
      <c r="AM259" s="731"/>
      <c r="AN259" s="731"/>
      <c r="AO259" s="731"/>
      <c r="AP259" s="731"/>
      <c r="AQ259" s="731"/>
      <c r="AR259" s="731"/>
      <c r="AS259" s="102"/>
      <c r="AT259" s="80"/>
      <c r="AU259" s="39"/>
      <c r="AV259" s="39"/>
    </row>
    <row r="260" spans="1:48" ht="4.5" customHeight="1" x14ac:dyDescent="0.3">
      <c r="A260" s="48"/>
      <c r="B260" s="70"/>
      <c r="C260" s="31"/>
      <c r="D260" s="31"/>
      <c r="E260" s="32"/>
      <c r="F260" s="33"/>
      <c r="G260" s="31"/>
      <c r="H260" s="31"/>
      <c r="I260" s="31"/>
      <c r="J260" s="215"/>
      <c r="K260" s="212"/>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19"/>
      <c r="AS260" s="102"/>
      <c r="AT260" s="80"/>
      <c r="AU260" s="39"/>
      <c r="AV260" s="39"/>
    </row>
    <row r="261" spans="1:48" ht="38.25" customHeight="1" x14ac:dyDescent="0.3">
      <c r="A261" s="48" t="s">
        <v>14</v>
      </c>
      <c r="B261" s="70"/>
      <c r="C261" s="31"/>
      <c r="D261" s="31"/>
      <c r="E261" s="34"/>
      <c r="F261" s="31"/>
      <c r="G261" s="31"/>
      <c r="H261" s="31"/>
      <c r="I261" s="31"/>
      <c r="J261" s="215"/>
      <c r="K261" s="212"/>
      <c r="L261" s="731" t="s">
        <v>1121</v>
      </c>
      <c r="M261" s="731"/>
      <c r="N261" s="731"/>
      <c r="O261" s="731"/>
      <c r="P261" s="731"/>
      <c r="Q261" s="731"/>
      <c r="R261" s="731"/>
      <c r="S261" s="731"/>
      <c r="T261" s="731"/>
      <c r="U261" s="731"/>
      <c r="V261" s="731"/>
      <c r="W261" s="731"/>
      <c r="X261" s="731"/>
      <c r="Y261" s="731"/>
      <c r="Z261" s="731"/>
      <c r="AA261" s="731"/>
      <c r="AB261" s="731"/>
      <c r="AC261" s="731"/>
      <c r="AD261" s="731"/>
      <c r="AE261" s="731"/>
      <c r="AF261" s="731"/>
      <c r="AG261" s="731"/>
      <c r="AH261" s="731"/>
      <c r="AI261" s="731"/>
      <c r="AJ261" s="731"/>
      <c r="AK261" s="731"/>
      <c r="AL261" s="731"/>
      <c r="AM261" s="731"/>
      <c r="AN261" s="731"/>
      <c r="AO261" s="731"/>
      <c r="AP261" s="731"/>
      <c r="AQ261" s="731"/>
      <c r="AR261" s="731"/>
      <c r="AS261" s="102"/>
      <c r="AT261" s="80"/>
      <c r="AU261" s="39"/>
      <c r="AV261" s="39"/>
    </row>
    <row r="262" spans="1:48" ht="4.5" customHeight="1" x14ac:dyDescent="0.3">
      <c r="A262" s="48"/>
      <c r="B262" s="70"/>
      <c r="C262" s="31"/>
      <c r="D262" s="31"/>
      <c r="E262" s="34"/>
      <c r="F262" s="31"/>
      <c r="G262" s="31"/>
      <c r="H262" s="31"/>
      <c r="I262" s="31"/>
      <c r="J262" s="215"/>
      <c r="K262" s="212"/>
      <c r="L262" s="219"/>
      <c r="M262" s="219"/>
      <c r="N262" s="219"/>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c r="AL262" s="219"/>
      <c r="AM262" s="219"/>
      <c r="AN262" s="219"/>
      <c r="AO262" s="219"/>
      <c r="AP262" s="219"/>
      <c r="AQ262" s="219"/>
      <c r="AR262" s="219"/>
      <c r="AS262" s="102"/>
      <c r="AT262" s="80"/>
      <c r="AU262" s="39"/>
      <c r="AV262" s="39"/>
    </row>
    <row r="263" spans="1:48" ht="38.25" customHeight="1" x14ac:dyDescent="0.3">
      <c r="A263" s="48" t="s">
        <v>15</v>
      </c>
      <c r="B263" s="70"/>
      <c r="C263" s="31"/>
      <c r="D263" s="31"/>
      <c r="E263" s="32"/>
      <c r="F263" s="33"/>
      <c r="G263" s="31"/>
      <c r="H263" s="31"/>
      <c r="I263" s="31"/>
      <c r="J263" s="215"/>
      <c r="K263" s="212"/>
      <c r="L263" s="731" t="s">
        <v>1811</v>
      </c>
      <c r="M263" s="731"/>
      <c r="N263" s="731"/>
      <c r="O263" s="731"/>
      <c r="P263" s="731"/>
      <c r="Q263" s="731"/>
      <c r="R263" s="731"/>
      <c r="S263" s="731"/>
      <c r="T263" s="731"/>
      <c r="U263" s="731"/>
      <c r="V263" s="731"/>
      <c r="W263" s="731"/>
      <c r="X263" s="731"/>
      <c r="Y263" s="731"/>
      <c r="Z263" s="731"/>
      <c r="AA263" s="731"/>
      <c r="AB263" s="731"/>
      <c r="AC263" s="731"/>
      <c r="AD263" s="731"/>
      <c r="AE263" s="731"/>
      <c r="AF263" s="731"/>
      <c r="AG263" s="731"/>
      <c r="AH263" s="731"/>
      <c r="AI263" s="731"/>
      <c r="AJ263" s="731"/>
      <c r="AK263" s="731"/>
      <c r="AL263" s="731"/>
      <c r="AM263" s="731"/>
      <c r="AN263" s="731"/>
      <c r="AO263" s="731"/>
      <c r="AP263" s="731"/>
      <c r="AQ263" s="731"/>
      <c r="AR263" s="731"/>
      <c r="AS263" s="102"/>
      <c r="AT263" s="80"/>
      <c r="AU263" s="39"/>
      <c r="AV263" s="39"/>
    </row>
    <row r="264" spans="1:48" ht="4.5" customHeight="1" x14ac:dyDescent="0.3">
      <c r="A264" s="48"/>
      <c r="B264" s="70"/>
      <c r="E264" s="35"/>
      <c r="J264" s="214"/>
      <c r="K264" s="212"/>
      <c r="L264" s="219"/>
      <c r="M264" s="219"/>
      <c r="N264" s="219"/>
      <c r="O264" s="219"/>
      <c r="P264" s="219"/>
      <c r="Q264" s="219"/>
      <c r="R264" s="219"/>
      <c r="S264" s="219"/>
      <c r="T264" s="219"/>
      <c r="U264" s="219"/>
      <c r="V264" s="219"/>
      <c r="W264" s="219"/>
      <c r="X264" s="219"/>
      <c r="Y264" s="219"/>
      <c r="Z264" s="219"/>
      <c r="AA264" s="219"/>
      <c r="AB264" s="219"/>
      <c r="AC264" s="219"/>
      <c r="AD264" s="219"/>
      <c r="AE264" s="219"/>
      <c r="AF264" s="219"/>
      <c r="AG264" s="219"/>
      <c r="AH264" s="219"/>
      <c r="AI264" s="219"/>
      <c r="AJ264" s="219"/>
      <c r="AK264" s="219"/>
      <c r="AL264" s="219"/>
      <c r="AM264" s="219"/>
      <c r="AN264" s="219"/>
      <c r="AO264" s="219"/>
      <c r="AP264" s="219"/>
      <c r="AQ264" s="219"/>
      <c r="AR264" s="219"/>
      <c r="AS264" s="102"/>
      <c r="AT264" s="80"/>
      <c r="AU264" s="39"/>
      <c r="AV264" s="39"/>
    </row>
    <row r="265" spans="1:48" ht="26.25" customHeight="1" x14ac:dyDescent="0.3">
      <c r="A265" s="48" t="s">
        <v>16</v>
      </c>
      <c r="B265" s="70"/>
      <c r="E265" s="11"/>
      <c r="F265" s="3"/>
      <c r="J265" s="214"/>
      <c r="K265" s="212"/>
      <c r="L265" s="731" t="s">
        <v>1122</v>
      </c>
      <c r="M265" s="731"/>
      <c r="N265" s="731"/>
      <c r="O265" s="731"/>
      <c r="P265" s="731"/>
      <c r="Q265" s="731"/>
      <c r="R265" s="731"/>
      <c r="S265" s="731"/>
      <c r="T265" s="731"/>
      <c r="U265" s="731"/>
      <c r="V265" s="731"/>
      <c r="W265" s="731"/>
      <c r="X265" s="731"/>
      <c r="Y265" s="731"/>
      <c r="Z265" s="731"/>
      <c r="AA265" s="731"/>
      <c r="AB265" s="731"/>
      <c r="AC265" s="731"/>
      <c r="AD265" s="731"/>
      <c r="AE265" s="731"/>
      <c r="AF265" s="731"/>
      <c r="AG265" s="731"/>
      <c r="AH265" s="731"/>
      <c r="AI265" s="731"/>
      <c r="AJ265" s="731"/>
      <c r="AK265" s="731"/>
      <c r="AL265" s="731"/>
      <c r="AM265" s="731"/>
      <c r="AN265" s="731"/>
      <c r="AO265" s="731"/>
      <c r="AP265" s="731"/>
      <c r="AQ265" s="731"/>
      <c r="AR265" s="731"/>
      <c r="AS265" s="102"/>
      <c r="AT265" s="80"/>
      <c r="AU265" s="39"/>
      <c r="AV265" s="39"/>
    </row>
    <row r="266" spans="1:48" ht="4.5" customHeight="1" x14ac:dyDescent="0.3">
      <c r="A266" s="48"/>
      <c r="B266" s="70"/>
      <c r="E266" s="11"/>
      <c r="J266" s="214"/>
      <c r="K266" s="212"/>
      <c r="L266" s="219"/>
      <c r="M266" s="219"/>
      <c r="N266" s="219"/>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102"/>
      <c r="AT266" s="80"/>
      <c r="AU266" s="39"/>
      <c r="AV266" s="39"/>
    </row>
    <row r="267" spans="1:48" ht="16.5" customHeight="1" x14ac:dyDescent="0.3">
      <c r="A267" s="48" t="s">
        <v>308</v>
      </c>
      <c r="B267" s="70"/>
      <c r="C267" s="39"/>
      <c r="D267" s="39"/>
      <c r="E267" s="44"/>
      <c r="F267" s="39"/>
      <c r="G267" s="39"/>
      <c r="H267" s="39"/>
      <c r="I267" s="39"/>
      <c r="J267" s="218"/>
      <c r="K267" s="219"/>
      <c r="L267" s="731" t="s">
        <v>1123</v>
      </c>
      <c r="M267" s="731"/>
      <c r="N267" s="731"/>
      <c r="O267" s="731"/>
      <c r="P267" s="731"/>
      <c r="Q267" s="731"/>
      <c r="R267" s="731"/>
      <c r="S267" s="731"/>
      <c r="T267" s="731"/>
      <c r="U267" s="731"/>
      <c r="V267" s="731"/>
      <c r="W267" s="731"/>
      <c r="X267" s="731"/>
      <c r="Y267" s="731"/>
      <c r="Z267" s="731"/>
      <c r="AA267" s="731"/>
      <c r="AB267" s="731"/>
      <c r="AC267" s="731"/>
      <c r="AD267" s="731"/>
      <c r="AE267" s="731"/>
      <c r="AF267" s="731"/>
      <c r="AG267" s="731"/>
      <c r="AH267" s="731"/>
      <c r="AI267" s="731"/>
      <c r="AJ267" s="731"/>
      <c r="AK267" s="731"/>
      <c r="AL267" s="731"/>
      <c r="AM267" s="731"/>
      <c r="AN267" s="731"/>
      <c r="AO267" s="731"/>
      <c r="AP267" s="731"/>
      <c r="AQ267" s="731"/>
      <c r="AR267" s="731"/>
      <c r="AS267" s="102"/>
      <c r="AT267" s="80"/>
      <c r="AU267" s="39"/>
      <c r="AV267" s="39"/>
    </row>
    <row r="268" spans="1:48" ht="4.5" customHeight="1" x14ac:dyDescent="0.3">
      <c r="A268" s="77"/>
      <c r="B268" s="39"/>
      <c r="C268" s="31"/>
      <c r="D268" s="31"/>
      <c r="E268" s="32"/>
      <c r="F268" s="33"/>
      <c r="G268" s="31"/>
      <c r="H268" s="31"/>
      <c r="I268" s="31"/>
      <c r="J268" s="215"/>
      <c r="K268" s="216"/>
      <c r="L268" s="226"/>
      <c r="M268" s="226"/>
      <c r="N268" s="226"/>
      <c r="O268" s="226"/>
      <c r="P268" s="226"/>
      <c r="Q268" s="226"/>
      <c r="R268" s="226"/>
      <c r="S268" s="226"/>
      <c r="T268" s="226"/>
      <c r="U268" s="226"/>
      <c r="V268" s="226"/>
      <c r="W268" s="226"/>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c r="AS268" s="102"/>
      <c r="AT268" s="80"/>
      <c r="AU268" s="39"/>
      <c r="AV268" s="39"/>
    </row>
    <row r="269" spans="1:48" x14ac:dyDescent="0.3">
      <c r="A269" s="77"/>
      <c r="B269" s="39"/>
      <c r="C269" s="39"/>
      <c r="D269" s="39"/>
      <c r="E269" s="44"/>
      <c r="F269" s="48" t="s">
        <v>700</v>
      </c>
      <c r="G269" s="39"/>
      <c r="H269" s="39"/>
      <c r="I269" s="39"/>
      <c r="J269" s="706" t="str">
        <f>IF(calculations!M15,"describe corrective action proposed to correct any Red Flag or Yellow Flag ranking",IF(calculations!N15,"describe corrective action proposed to correct any Red Flag or Yellow Flag ranking","we changed the criteria"))</f>
        <v>we changed the criteria</v>
      </c>
      <c r="K269" s="707"/>
      <c r="L269" s="707"/>
      <c r="M269" s="707"/>
      <c r="N269" s="707"/>
      <c r="O269" s="707"/>
      <c r="P269" s="707"/>
      <c r="Q269" s="707"/>
      <c r="R269" s="707"/>
      <c r="S269" s="707"/>
      <c r="T269" s="707"/>
      <c r="U269" s="707"/>
      <c r="V269" s="707"/>
      <c r="W269" s="707"/>
      <c r="X269" s="707"/>
      <c r="Y269" s="707"/>
      <c r="Z269" s="707"/>
      <c r="AA269" s="707"/>
      <c r="AB269" s="707"/>
      <c r="AC269" s="707"/>
      <c r="AD269" s="707"/>
      <c r="AE269" s="707"/>
      <c r="AF269" s="707"/>
      <c r="AG269" s="707"/>
      <c r="AH269" s="707"/>
      <c r="AI269" s="707"/>
      <c r="AJ269" s="707"/>
      <c r="AK269" s="707"/>
      <c r="AL269" s="707"/>
      <c r="AM269" s="707"/>
      <c r="AN269" s="707"/>
      <c r="AO269" s="707"/>
      <c r="AP269" s="707"/>
      <c r="AQ269" s="707"/>
      <c r="AR269" s="708"/>
      <c r="AS269" s="102"/>
      <c r="AT269" s="80"/>
      <c r="AU269" s="39"/>
      <c r="AV269" s="39"/>
    </row>
    <row r="270" spans="1:48" ht="4.5" customHeight="1" x14ac:dyDescent="0.3">
      <c r="A270" s="77"/>
      <c r="B270" s="39"/>
      <c r="C270" s="39"/>
      <c r="D270" s="39"/>
      <c r="E270" s="44"/>
      <c r="F270" s="48"/>
      <c r="G270" s="39"/>
      <c r="H270" s="39"/>
      <c r="I270" s="39"/>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102"/>
      <c r="AT270" s="80"/>
      <c r="AU270" s="39"/>
      <c r="AV270" s="39"/>
    </row>
    <row r="271" spans="1:48" ht="25.5" customHeight="1" x14ac:dyDescent="0.3">
      <c r="A271" s="77"/>
      <c r="B271" s="39"/>
      <c r="C271" s="39"/>
      <c r="D271" s="39"/>
      <c r="E271" s="44"/>
      <c r="F271" s="55" t="str">
        <f>IF(calculations!M15,"REC",IF(calculations!N15,"VITAL REC",IF(J271&gt;"","REC","")))</f>
        <v/>
      </c>
      <c r="G271" s="38"/>
      <c r="J271" s="724" t="str">
        <f>IF(calculations!M15=TRUE,Rec!E23,IF(calculations!N15=TRUE,Rec!E24,""))</f>
        <v/>
      </c>
      <c r="K271" s="725"/>
      <c r="L271" s="725"/>
      <c r="M271" s="725"/>
      <c r="N271" s="725"/>
      <c r="O271" s="725"/>
      <c r="P271" s="725"/>
      <c r="Q271" s="725"/>
      <c r="R271" s="725"/>
      <c r="S271" s="725"/>
      <c r="T271" s="725"/>
      <c r="U271" s="725"/>
      <c r="V271" s="725"/>
      <c r="W271" s="725"/>
      <c r="X271" s="725"/>
      <c r="Y271" s="725"/>
      <c r="Z271" s="725"/>
      <c r="AA271" s="725"/>
      <c r="AB271" s="725"/>
      <c r="AC271" s="725"/>
      <c r="AD271" s="725"/>
      <c r="AE271" s="725"/>
      <c r="AF271" s="725"/>
      <c r="AG271" s="725"/>
      <c r="AH271" s="725"/>
      <c r="AI271" s="725"/>
      <c r="AJ271" s="725"/>
      <c r="AK271" s="725"/>
      <c r="AL271" s="725"/>
      <c r="AM271" s="725"/>
      <c r="AN271" s="725"/>
      <c r="AO271" s="725"/>
      <c r="AP271" s="725"/>
      <c r="AQ271" s="725"/>
      <c r="AR271" s="726"/>
      <c r="AS271" s="102"/>
      <c r="AT271" s="80"/>
      <c r="AU271" s="39"/>
      <c r="AV271" s="39"/>
    </row>
    <row r="272" spans="1:48" ht="12.75" customHeight="1" x14ac:dyDescent="0.3">
      <c r="A272" s="77"/>
      <c r="B272" s="39"/>
      <c r="C272" s="39"/>
      <c r="D272" s="39"/>
      <c r="E272" s="44"/>
      <c r="F272" s="37"/>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102"/>
      <c r="AT272" s="80"/>
      <c r="AU272" s="39"/>
      <c r="AV272" s="39"/>
    </row>
    <row r="273" spans="1:48" ht="14.15" x14ac:dyDescent="0.35">
      <c r="A273" s="743">
        <v>2.2000000000000002</v>
      </c>
      <c r="B273" s="743"/>
      <c r="C273" s="39"/>
      <c r="D273" s="47" t="s">
        <v>185</v>
      </c>
      <c r="E273" s="44"/>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102"/>
      <c r="AT273" s="80"/>
      <c r="AU273" s="39"/>
      <c r="AV273" s="39"/>
    </row>
    <row r="274" spans="1:48" ht="4.5" customHeight="1" x14ac:dyDescent="0.3">
      <c r="A274" s="48"/>
      <c r="B274" s="70"/>
      <c r="E274" s="11"/>
      <c r="K274" s="11"/>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102"/>
      <c r="AT274" s="80"/>
      <c r="AU274" s="39"/>
      <c r="AV274" s="39"/>
    </row>
    <row r="275" spans="1:48" ht="24.75" customHeight="1" x14ac:dyDescent="0.3">
      <c r="A275" s="48" t="s">
        <v>17</v>
      </c>
      <c r="B275" s="70"/>
      <c r="C275" s="31"/>
      <c r="D275" s="31"/>
      <c r="E275" s="32"/>
      <c r="F275" s="33"/>
      <c r="G275" s="31"/>
      <c r="H275" s="31"/>
      <c r="I275" s="31"/>
      <c r="J275" s="215"/>
      <c r="K275" s="212"/>
      <c r="L275" s="731" t="s">
        <v>1118</v>
      </c>
      <c r="M275" s="731"/>
      <c r="N275" s="731"/>
      <c r="O275" s="731"/>
      <c r="P275" s="731"/>
      <c r="Q275" s="731"/>
      <c r="R275" s="731"/>
      <c r="S275" s="731"/>
      <c r="T275" s="731"/>
      <c r="U275" s="731"/>
      <c r="V275" s="731"/>
      <c r="W275" s="731"/>
      <c r="X275" s="731"/>
      <c r="Y275" s="731"/>
      <c r="Z275" s="731"/>
      <c r="AA275" s="731"/>
      <c r="AB275" s="731"/>
      <c r="AC275" s="731"/>
      <c r="AD275" s="731"/>
      <c r="AE275" s="731"/>
      <c r="AF275" s="731"/>
      <c r="AG275" s="731"/>
      <c r="AH275" s="731"/>
      <c r="AI275" s="731"/>
      <c r="AJ275" s="731"/>
      <c r="AK275" s="731"/>
      <c r="AL275" s="731"/>
      <c r="AM275" s="731"/>
      <c r="AN275" s="731"/>
      <c r="AO275" s="731"/>
      <c r="AP275" s="731"/>
      <c r="AQ275" s="731"/>
      <c r="AR275" s="731"/>
      <c r="AS275" s="102"/>
      <c r="AT275" s="80"/>
      <c r="AU275" s="39"/>
      <c r="AV275" s="39"/>
    </row>
    <row r="276" spans="1:48" ht="4.5" customHeight="1" x14ac:dyDescent="0.3">
      <c r="A276" s="48"/>
      <c r="B276" s="70"/>
      <c r="C276" s="31"/>
      <c r="D276" s="31"/>
      <c r="E276" s="34"/>
      <c r="F276" s="31"/>
      <c r="G276" s="31"/>
      <c r="H276" s="31"/>
      <c r="I276" s="31"/>
      <c r="J276" s="215"/>
      <c r="K276" s="212"/>
      <c r="L276" s="219"/>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19"/>
      <c r="AL276" s="219"/>
      <c r="AM276" s="219"/>
      <c r="AN276" s="219"/>
      <c r="AO276" s="219"/>
      <c r="AP276" s="219"/>
      <c r="AQ276" s="219"/>
      <c r="AR276" s="219"/>
      <c r="AS276" s="102"/>
      <c r="AT276" s="80"/>
      <c r="AU276" s="39"/>
      <c r="AV276" s="39"/>
    </row>
    <row r="277" spans="1:48" ht="36" customHeight="1" x14ac:dyDescent="0.3">
      <c r="A277" s="48" t="s">
        <v>18</v>
      </c>
      <c r="B277" s="70"/>
      <c r="C277" s="31"/>
      <c r="D277" s="31"/>
      <c r="E277" s="32"/>
      <c r="F277" s="33"/>
      <c r="G277" s="31"/>
      <c r="H277" s="31"/>
      <c r="I277" s="31"/>
      <c r="J277" s="215"/>
      <c r="K277" s="212"/>
      <c r="L277" s="731" t="s">
        <v>1124</v>
      </c>
      <c r="M277" s="731"/>
      <c r="N277" s="731"/>
      <c r="O277" s="731"/>
      <c r="P277" s="731"/>
      <c r="Q277" s="731"/>
      <c r="R277" s="731"/>
      <c r="S277" s="731"/>
      <c r="T277" s="731"/>
      <c r="U277" s="731"/>
      <c r="V277" s="731"/>
      <c r="W277" s="731"/>
      <c r="X277" s="731"/>
      <c r="Y277" s="731"/>
      <c r="Z277" s="731"/>
      <c r="AA277" s="731"/>
      <c r="AB277" s="731"/>
      <c r="AC277" s="731"/>
      <c r="AD277" s="731"/>
      <c r="AE277" s="731"/>
      <c r="AF277" s="731"/>
      <c r="AG277" s="731"/>
      <c r="AH277" s="731"/>
      <c r="AI277" s="731"/>
      <c r="AJ277" s="731"/>
      <c r="AK277" s="731"/>
      <c r="AL277" s="731"/>
      <c r="AM277" s="731"/>
      <c r="AN277" s="731"/>
      <c r="AO277" s="731"/>
      <c r="AP277" s="731"/>
      <c r="AQ277" s="731"/>
      <c r="AR277" s="731"/>
      <c r="AS277" s="102"/>
      <c r="AT277" s="80"/>
      <c r="AU277" s="39"/>
      <c r="AV277" s="39"/>
    </row>
    <row r="278" spans="1:48" ht="4.5" customHeight="1" x14ac:dyDescent="0.3">
      <c r="A278" s="48"/>
      <c r="B278" s="70"/>
      <c r="C278" s="31"/>
      <c r="D278" s="31"/>
      <c r="E278" s="32"/>
      <c r="F278" s="33"/>
      <c r="G278" s="31"/>
      <c r="H278" s="31"/>
      <c r="I278" s="31"/>
      <c r="J278" s="215"/>
      <c r="K278" s="212"/>
      <c r="L278" s="219"/>
      <c r="M278" s="219"/>
      <c r="N278" s="219"/>
      <c r="O278" s="219"/>
      <c r="P278" s="219"/>
      <c r="Q278" s="219"/>
      <c r="R278" s="219"/>
      <c r="S278" s="219"/>
      <c r="T278" s="219"/>
      <c r="U278" s="219"/>
      <c r="V278" s="219"/>
      <c r="W278" s="219"/>
      <c r="X278" s="219"/>
      <c r="Y278" s="219"/>
      <c r="Z278" s="219"/>
      <c r="AA278" s="219"/>
      <c r="AB278" s="219"/>
      <c r="AC278" s="219"/>
      <c r="AD278" s="219"/>
      <c r="AE278" s="219"/>
      <c r="AF278" s="219"/>
      <c r="AG278" s="219"/>
      <c r="AH278" s="219"/>
      <c r="AI278" s="219"/>
      <c r="AJ278" s="219"/>
      <c r="AK278" s="219"/>
      <c r="AL278" s="219"/>
      <c r="AM278" s="219"/>
      <c r="AN278" s="219"/>
      <c r="AO278" s="219"/>
      <c r="AP278" s="219"/>
      <c r="AQ278" s="219"/>
      <c r="AR278" s="219"/>
      <c r="AS278" s="102"/>
      <c r="AT278" s="80"/>
      <c r="AU278" s="39"/>
      <c r="AV278" s="39"/>
    </row>
    <row r="279" spans="1:48" ht="65.25" customHeight="1" x14ac:dyDescent="0.3">
      <c r="A279" s="48" t="s">
        <v>19</v>
      </c>
      <c r="B279" s="70"/>
      <c r="C279" s="31"/>
      <c r="D279" s="31"/>
      <c r="E279" s="34"/>
      <c r="F279" s="31"/>
      <c r="G279" s="31"/>
      <c r="H279" s="31"/>
      <c r="I279" s="31"/>
      <c r="J279" s="215"/>
      <c r="K279" s="212"/>
      <c r="L279" s="731" t="s">
        <v>1125</v>
      </c>
      <c r="M279" s="731"/>
      <c r="N279" s="731"/>
      <c r="O279" s="731"/>
      <c r="P279" s="731"/>
      <c r="Q279" s="731"/>
      <c r="R279" s="731"/>
      <c r="S279" s="731"/>
      <c r="T279" s="731"/>
      <c r="U279" s="731"/>
      <c r="V279" s="731"/>
      <c r="W279" s="731"/>
      <c r="X279" s="731"/>
      <c r="Y279" s="731"/>
      <c r="Z279" s="731"/>
      <c r="AA279" s="731"/>
      <c r="AB279" s="731"/>
      <c r="AC279" s="731"/>
      <c r="AD279" s="731"/>
      <c r="AE279" s="731"/>
      <c r="AF279" s="731"/>
      <c r="AG279" s="731"/>
      <c r="AH279" s="731"/>
      <c r="AI279" s="731"/>
      <c r="AJ279" s="731"/>
      <c r="AK279" s="731"/>
      <c r="AL279" s="731"/>
      <c r="AM279" s="731"/>
      <c r="AN279" s="731"/>
      <c r="AO279" s="731"/>
      <c r="AP279" s="731"/>
      <c r="AQ279" s="731"/>
      <c r="AR279" s="731"/>
      <c r="AS279" s="102"/>
      <c r="AT279" s="80"/>
      <c r="AU279" s="39"/>
      <c r="AV279" s="39"/>
    </row>
    <row r="280" spans="1:48" ht="4.5" customHeight="1" x14ac:dyDescent="0.3">
      <c r="A280" s="48"/>
      <c r="B280" s="70"/>
      <c r="C280" s="31"/>
      <c r="D280" s="31"/>
      <c r="E280" s="34"/>
      <c r="F280" s="31"/>
      <c r="G280" s="31"/>
      <c r="H280" s="31"/>
      <c r="I280" s="31"/>
      <c r="J280" s="215"/>
      <c r="K280" s="212"/>
      <c r="L280" s="227"/>
      <c r="M280" s="227"/>
      <c r="N280" s="227"/>
      <c r="O280" s="227"/>
      <c r="P280" s="227"/>
      <c r="Q280" s="227"/>
      <c r="R280" s="227"/>
      <c r="S280" s="227"/>
      <c r="T280" s="227"/>
      <c r="U280" s="227"/>
      <c r="V280" s="227"/>
      <c r="W280" s="227"/>
      <c r="X280" s="227"/>
      <c r="Y280" s="227"/>
      <c r="Z280" s="227"/>
      <c r="AA280" s="227"/>
      <c r="AB280" s="227"/>
      <c r="AC280" s="227"/>
      <c r="AD280" s="227"/>
      <c r="AE280" s="227"/>
      <c r="AF280" s="227"/>
      <c r="AG280" s="227"/>
      <c r="AH280" s="227"/>
      <c r="AI280" s="227"/>
      <c r="AJ280" s="227"/>
      <c r="AK280" s="227"/>
      <c r="AL280" s="227"/>
      <c r="AM280" s="227"/>
      <c r="AN280" s="227"/>
      <c r="AO280" s="227"/>
      <c r="AP280" s="227"/>
      <c r="AQ280" s="227"/>
      <c r="AR280" s="219"/>
      <c r="AS280" s="102"/>
      <c r="AT280" s="80"/>
      <c r="AU280" s="39"/>
      <c r="AV280" s="39"/>
    </row>
    <row r="281" spans="1:48" ht="61.5" customHeight="1" x14ac:dyDescent="0.3">
      <c r="A281" s="48" t="s">
        <v>20</v>
      </c>
      <c r="B281" s="70"/>
      <c r="C281" s="31"/>
      <c r="D281" s="31"/>
      <c r="E281" s="32"/>
      <c r="F281" s="33"/>
      <c r="G281" s="31"/>
      <c r="H281" s="31"/>
      <c r="I281" s="31"/>
      <c r="J281" s="215"/>
      <c r="K281" s="212"/>
      <c r="L281" s="731" t="s">
        <v>1126</v>
      </c>
      <c r="M281" s="731"/>
      <c r="N281" s="731"/>
      <c r="O281" s="731"/>
      <c r="P281" s="731"/>
      <c r="Q281" s="731"/>
      <c r="R281" s="731"/>
      <c r="S281" s="731"/>
      <c r="T281" s="731"/>
      <c r="U281" s="731"/>
      <c r="V281" s="731"/>
      <c r="W281" s="731"/>
      <c r="X281" s="731"/>
      <c r="Y281" s="731"/>
      <c r="Z281" s="731"/>
      <c r="AA281" s="731"/>
      <c r="AB281" s="731"/>
      <c r="AC281" s="731"/>
      <c r="AD281" s="731"/>
      <c r="AE281" s="731"/>
      <c r="AF281" s="731"/>
      <c r="AG281" s="731"/>
      <c r="AH281" s="731"/>
      <c r="AI281" s="731"/>
      <c r="AJ281" s="731"/>
      <c r="AK281" s="731"/>
      <c r="AL281" s="731"/>
      <c r="AM281" s="731"/>
      <c r="AN281" s="731"/>
      <c r="AO281" s="731"/>
      <c r="AP281" s="731"/>
      <c r="AQ281" s="731"/>
      <c r="AR281" s="731"/>
      <c r="AS281" s="102"/>
      <c r="AT281" s="80"/>
      <c r="AU281" s="39"/>
      <c r="AV281" s="39"/>
    </row>
    <row r="282" spans="1:48" ht="4.5" customHeight="1" x14ac:dyDescent="0.3">
      <c r="A282" s="48"/>
      <c r="B282" s="70"/>
      <c r="E282" s="35"/>
      <c r="J282" s="214"/>
      <c r="K282" s="212"/>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102"/>
      <c r="AT282" s="80"/>
      <c r="AU282" s="39"/>
      <c r="AV282" s="39"/>
    </row>
    <row r="283" spans="1:48" ht="51.75" customHeight="1" x14ac:dyDescent="0.3">
      <c r="A283" s="48" t="s">
        <v>21</v>
      </c>
      <c r="B283" s="70"/>
      <c r="E283" s="11"/>
      <c r="F283" s="3"/>
      <c r="J283" s="214"/>
      <c r="K283" s="212"/>
      <c r="L283" s="731" t="s">
        <v>1127</v>
      </c>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731"/>
      <c r="AI283" s="731"/>
      <c r="AJ283" s="731"/>
      <c r="AK283" s="731"/>
      <c r="AL283" s="731"/>
      <c r="AM283" s="731"/>
      <c r="AN283" s="731"/>
      <c r="AO283" s="731"/>
      <c r="AP283" s="731"/>
      <c r="AQ283" s="731"/>
      <c r="AR283" s="731"/>
      <c r="AS283" s="102"/>
      <c r="AT283" s="80"/>
      <c r="AU283" s="39"/>
      <c r="AV283" s="39"/>
    </row>
    <row r="284" spans="1:48" ht="4.5" customHeight="1" x14ac:dyDescent="0.3">
      <c r="A284" s="48"/>
      <c r="B284" s="70"/>
      <c r="E284" s="11"/>
      <c r="J284" s="214"/>
      <c r="K284" s="212"/>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102"/>
      <c r="AT284" s="80"/>
      <c r="AU284" s="39"/>
      <c r="AV284" s="39"/>
    </row>
    <row r="285" spans="1:48" ht="26.25" customHeight="1" x14ac:dyDescent="0.3">
      <c r="A285" s="48" t="s">
        <v>309</v>
      </c>
      <c r="B285" s="70"/>
      <c r="C285" s="39"/>
      <c r="D285" s="39"/>
      <c r="E285" s="44"/>
      <c r="F285" s="39"/>
      <c r="G285" s="39"/>
      <c r="H285" s="39"/>
      <c r="I285" s="39"/>
      <c r="J285" s="218"/>
      <c r="K285" s="219"/>
      <c r="L285" s="731" t="s">
        <v>1128</v>
      </c>
      <c r="M285" s="731"/>
      <c r="N285" s="731"/>
      <c r="O285" s="731"/>
      <c r="P285" s="731"/>
      <c r="Q285" s="731"/>
      <c r="R285" s="731"/>
      <c r="S285" s="731"/>
      <c r="T285" s="731"/>
      <c r="U285" s="731"/>
      <c r="V285" s="731"/>
      <c r="W285" s="731"/>
      <c r="X285" s="731"/>
      <c r="Y285" s="731"/>
      <c r="Z285" s="731"/>
      <c r="AA285" s="731"/>
      <c r="AB285" s="731"/>
      <c r="AC285" s="731"/>
      <c r="AD285" s="731"/>
      <c r="AE285" s="731"/>
      <c r="AF285" s="731"/>
      <c r="AG285" s="731"/>
      <c r="AH285" s="731"/>
      <c r="AI285" s="731"/>
      <c r="AJ285" s="731"/>
      <c r="AK285" s="731"/>
      <c r="AL285" s="731"/>
      <c r="AM285" s="731"/>
      <c r="AN285" s="731"/>
      <c r="AO285" s="731"/>
      <c r="AP285" s="731"/>
      <c r="AQ285" s="731"/>
      <c r="AR285" s="731"/>
      <c r="AS285" s="102"/>
      <c r="AT285" s="80"/>
      <c r="AU285" s="39"/>
      <c r="AV285" s="39"/>
    </row>
    <row r="286" spans="1:48" ht="4.5" customHeight="1" x14ac:dyDescent="0.3">
      <c r="A286" s="77"/>
      <c r="B286" s="39"/>
      <c r="C286" s="31"/>
      <c r="D286" s="31"/>
      <c r="E286" s="32"/>
      <c r="F286" s="33"/>
      <c r="G286" s="31"/>
      <c r="H286" s="31"/>
      <c r="I286" s="31"/>
      <c r="J286" s="215"/>
      <c r="K286" s="21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102"/>
      <c r="AT286" s="80"/>
      <c r="AU286" s="39"/>
      <c r="AV286" s="39"/>
    </row>
    <row r="287" spans="1:48" x14ac:dyDescent="0.3">
      <c r="A287" s="77"/>
      <c r="B287" s="39"/>
      <c r="C287" s="39"/>
      <c r="D287" s="39"/>
      <c r="E287" s="44"/>
      <c r="F287" s="48" t="s">
        <v>700</v>
      </c>
      <c r="G287" s="39"/>
      <c r="H287" s="39"/>
      <c r="I287" s="39"/>
      <c r="J287" s="706" t="str">
        <f>IF(calculations!M16,"describe corrective action proposed to correct any Red Flag or Yellow Flag ranking",IF(calculations!N16,"describe corrective action proposed to correct any Red Flag or Yellow Flag ranking",""))</f>
        <v/>
      </c>
      <c r="K287" s="707"/>
      <c r="L287" s="707"/>
      <c r="M287" s="707"/>
      <c r="N287" s="707"/>
      <c r="O287" s="707"/>
      <c r="P287" s="707"/>
      <c r="Q287" s="707"/>
      <c r="R287" s="707"/>
      <c r="S287" s="707"/>
      <c r="T287" s="707"/>
      <c r="U287" s="707"/>
      <c r="V287" s="707"/>
      <c r="W287" s="707"/>
      <c r="X287" s="707"/>
      <c r="Y287" s="707"/>
      <c r="Z287" s="707"/>
      <c r="AA287" s="707"/>
      <c r="AB287" s="707"/>
      <c r="AC287" s="707"/>
      <c r="AD287" s="707"/>
      <c r="AE287" s="707"/>
      <c r="AF287" s="707"/>
      <c r="AG287" s="707"/>
      <c r="AH287" s="707"/>
      <c r="AI287" s="707"/>
      <c r="AJ287" s="707"/>
      <c r="AK287" s="707"/>
      <c r="AL287" s="707"/>
      <c r="AM287" s="707"/>
      <c r="AN287" s="707"/>
      <c r="AO287" s="707"/>
      <c r="AP287" s="707"/>
      <c r="AQ287" s="707"/>
      <c r="AR287" s="708"/>
      <c r="AS287" s="102"/>
      <c r="AT287" s="80"/>
      <c r="AU287" s="39"/>
      <c r="AV287" s="39"/>
    </row>
    <row r="288" spans="1:48" ht="4.5" customHeight="1" x14ac:dyDescent="0.3">
      <c r="A288" s="77"/>
      <c r="B288" s="39"/>
      <c r="C288" s="39"/>
      <c r="D288" s="39"/>
      <c r="E288" s="44"/>
      <c r="F288" s="48"/>
      <c r="G288" s="39"/>
      <c r="H288" s="39"/>
      <c r="I288" s="39"/>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102"/>
      <c r="AT288" s="80"/>
      <c r="AU288" s="39"/>
      <c r="AV288" s="39"/>
    </row>
    <row r="289" spans="1:48" ht="39" customHeight="1" x14ac:dyDescent="0.3">
      <c r="A289" s="77"/>
      <c r="B289" s="39"/>
      <c r="C289" s="39"/>
      <c r="D289" s="39"/>
      <c r="E289" s="44"/>
      <c r="F289" s="55" t="str">
        <f>IF(J289&gt;"","REC",IF(calculations!M16,"REC",IF(calculations!N16,"REC","")))</f>
        <v/>
      </c>
      <c r="G289" s="38"/>
      <c r="J289" s="724" t="str">
        <f>IF(calculations!M16=TRUE,Rec!E25,IF(calculations!N16=TRUE,Rec!E26,""))</f>
        <v/>
      </c>
      <c r="K289" s="725"/>
      <c r="L289" s="725"/>
      <c r="M289" s="725"/>
      <c r="N289" s="725"/>
      <c r="O289" s="725"/>
      <c r="P289" s="725"/>
      <c r="Q289" s="725"/>
      <c r="R289" s="725"/>
      <c r="S289" s="725"/>
      <c r="T289" s="725"/>
      <c r="U289" s="725"/>
      <c r="V289" s="725"/>
      <c r="W289" s="725"/>
      <c r="X289" s="725"/>
      <c r="Y289" s="725"/>
      <c r="Z289" s="725"/>
      <c r="AA289" s="725"/>
      <c r="AB289" s="725"/>
      <c r="AC289" s="725"/>
      <c r="AD289" s="725"/>
      <c r="AE289" s="725"/>
      <c r="AF289" s="725"/>
      <c r="AG289" s="725"/>
      <c r="AH289" s="725"/>
      <c r="AI289" s="725"/>
      <c r="AJ289" s="725"/>
      <c r="AK289" s="725"/>
      <c r="AL289" s="725"/>
      <c r="AM289" s="725"/>
      <c r="AN289" s="725"/>
      <c r="AO289" s="725"/>
      <c r="AP289" s="725"/>
      <c r="AQ289" s="725"/>
      <c r="AR289" s="726"/>
      <c r="AS289" s="102"/>
      <c r="AT289" s="80"/>
      <c r="AU289" s="39"/>
      <c r="AV289" s="39"/>
    </row>
    <row r="290" spans="1:48" ht="12.75" customHeight="1" x14ac:dyDescent="0.3">
      <c r="A290" s="77"/>
      <c r="B290" s="39"/>
      <c r="C290" s="39"/>
      <c r="D290" s="39"/>
      <c r="E290" s="44"/>
      <c r="F290" s="37"/>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102"/>
      <c r="AT290" s="80"/>
      <c r="AU290" s="39"/>
      <c r="AV290" s="39"/>
    </row>
    <row r="291" spans="1:48" ht="14.15" x14ac:dyDescent="0.35">
      <c r="A291" s="743">
        <v>2.2999999999999998</v>
      </c>
      <c r="B291" s="743"/>
      <c r="C291" s="39"/>
      <c r="D291" s="47" t="s">
        <v>184</v>
      </c>
      <c r="E291" s="44"/>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102"/>
      <c r="AT291" s="80"/>
      <c r="AU291" s="39"/>
      <c r="AV291" s="39"/>
    </row>
    <row r="292" spans="1:48" ht="4.5" customHeight="1" x14ac:dyDescent="0.3">
      <c r="A292" s="48"/>
      <c r="B292" s="70"/>
      <c r="E292" s="11"/>
      <c r="K292" s="11"/>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102"/>
      <c r="AT292" s="80"/>
      <c r="AU292" s="39"/>
      <c r="AV292" s="39"/>
    </row>
    <row r="293" spans="1:48" ht="26.25" customHeight="1" x14ac:dyDescent="0.3">
      <c r="A293" s="48" t="s">
        <v>23</v>
      </c>
      <c r="B293" s="70"/>
      <c r="C293" s="31"/>
      <c r="D293" s="31"/>
      <c r="E293" s="32"/>
      <c r="F293" s="33"/>
      <c r="G293" s="31"/>
      <c r="H293" s="31"/>
      <c r="I293" s="31"/>
      <c r="J293" s="31"/>
      <c r="K293" s="11"/>
      <c r="L293" s="731" t="s">
        <v>1118</v>
      </c>
      <c r="M293" s="731"/>
      <c r="N293" s="731"/>
      <c r="O293" s="731"/>
      <c r="P293" s="731"/>
      <c r="Q293" s="731"/>
      <c r="R293" s="731"/>
      <c r="S293" s="731"/>
      <c r="T293" s="731"/>
      <c r="U293" s="731"/>
      <c r="V293" s="731"/>
      <c r="W293" s="731"/>
      <c r="X293" s="731"/>
      <c r="Y293" s="731"/>
      <c r="Z293" s="731"/>
      <c r="AA293" s="731"/>
      <c r="AB293" s="731"/>
      <c r="AC293" s="731"/>
      <c r="AD293" s="731"/>
      <c r="AE293" s="731"/>
      <c r="AF293" s="731"/>
      <c r="AG293" s="731"/>
      <c r="AH293" s="731"/>
      <c r="AI293" s="731"/>
      <c r="AJ293" s="731"/>
      <c r="AK293" s="731"/>
      <c r="AL293" s="731"/>
      <c r="AM293" s="731"/>
      <c r="AN293" s="731"/>
      <c r="AO293" s="731"/>
      <c r="AP293" s="731"/>
      <c r="AQ293" s="731"/>
      <c r="AR293" s="731"/>
      <c r="AS293" s="102"/>
      <c r="AT293" s="80"/>
      <c r="AU293" s="39"/>
      <c r="AV293" s="39"/>
    </row>
    <row r="294" spans="1:48" ht="4.5" customHeight="1" x14ac:dyDescent="0.3">
      <c r="A294" s="48"/>
      <c r="B294" s="70"/>
      <c r="C294" s="31"/>
      <c r="D294" s="31"/>
      <c r="E294" s="34"/>
      <c r="F294" s="31"/>
      <c r="G294" s="31"/>
      <c r="H294" s="31"/>
      <c r="I294" s="31"/>
      <c r="J294" s="31"/>
      <c r="K294" s="11"/>
      <c r="L294" s="219"/>
      <c r="M294" s="219"/>
      <c r="N294" s="219"/>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c r="AL294" s="219"/>
      <c r="AM294" s="219"/>
      <c r="AN294" s="219"/>
      <c r="AO294" s="219"/>
      <c r="AP294" s="219"/>
      <c r="AQ294" s="219"/>
      <c r="AR294" s="219"/>
      <c r="AS294" s="102"/>
      <c r="AT294" s="80"/>
      <c r="AU294" s="39"/>
      <c r="AV294" s="39"/>
    </row>
    <row r="295" spans="1:48" ht="38.25" customHeight="1" x14ac:dyDescent="0.3">
      <c r="A295" s="48" t="s">
        <v>24</v>
      </c>
      <c r="B295" s="70"/>
      <c r="C295" s="31"/>
      <c r="D295" s="31"/>
      <c r="E295" s="32"/>
      <c r="F295" s="33"/>
      <c r="G295" s="31"/>
      <c r="H295" s="31"/>
      <c r="I295" s="31"/>
      <c r="J295" s="31"/>
      <c r="K295" s="11"/>
      <c r="L295" s="731" t="s">
        <v>1812</v>
      </c>
      <c r="M295" s="731"/>
      <c r="N295" s="731"/>
      <c r="O295" s="731"/>
      <c r="P295" s="731"/>
      <c r="Q295" s="731"/>
      <c r="R295" s="731"/>
      <c r="S295" s="731"/>
      <c r="T295" s="731"/>
      <c r="U295" s="731"/>
      <c r="V295" s="731"/>
      <c r="W295" s="731"/>
      <c r="X295" s="731"/>
      <c r="Y295" s="731"/>
      <c r="Z295" s="731"/>
      <c r="AA295" s="731"/>
      <c r="AB295" s="731"/>
      <c r="AC295" s="731"/>
      <c r="AD295" s="731"/>
      <c r="AE295" s="731"/>
      <c r="AF295" s="731"/>
      <c r="AG295" s="731"/>
      <c r="AH295" s="731"/>
      <c r="AI295" s="731"/>
      <c r="AJ295" s="731"/>
      <c r="AK295" s="731"/>
      <c r="AL295" s="731"/>
      <c r="AM295" s="731"/>
      <c r="AN295" s="731"/>
      <c r="AO295" s="731"/>
      <c r="AP295" s="731"/>
      <c r="AQ295" s="731"/>
      <c r="AR295" s="731"/>
      <c r="AS295" s="102"/>
      <c r="AT295" s="80"/>
      <c r="AU295" s="39"/>
      <c r="AV295" s="39"/>
    </row>
    <row r="296" spans="1:48" ht="4.5" customHeight="1" x14ac:dyDescent="0.3">
      <c r="A296" s="48"/>
      <c r="B296" s="70"/>
      <c r="C296" s="31"/>
      <c r="D296" s="31"/>
      <c r="E296" s="32"/>
      <c r="F296" s="33"/>
      <c r="G296" s="31"/>
      <c r="H296" s="31"/>
      <c r="I296" s="31"/>
      <c r="J296" s="31"/>
      <c r="K296" s="11"/>
      <c r="L296" s="219"/>
      <c r="M296" s="219"/>
      <c r="N296" s="219"/>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c r="AL296" s="219"/>
      <c r="AM296" s="219"/>
      <c r="AN296" s="219"/>
      <c r="AO296" s="219"/>
      <c r="AP296" s="219"/>
      <c r="AQ296" s="219"/>
      <c r="AR296" s="219"/>
      <c r="AS296" s="102"/>
      <c r="AT296" s="80"/>
      <c r="AU296" s="39"/>
      <c r="AV296" s="39"/>
    </row>
    <row r="297" spans="1:48" ht="51.75" customHeight="1" x14ac:dyDescent="0.3">
      <c r="A297" s="48" t="s">
        <v>25</v>
      </c>
      <c r="B297" s="70"/>
      <c r="C297" s="31"/>
      <c r="D297" s="31"/>
      <c r="E297" s="34"/>
      <c r="F297" s="31"/>
      <c r="G297" s="31"/>
      <c r="H297" s="31"/>
      <c r="I297" s="31"/>
      <c r="J297" s="31"/>
      <c r="K297" s="11"/>
      <c r="L297" s="731" t="s">
        <v>1536</v>
      </c>
      <c r="M297" s="731"/>
      <c r="N297" s="731"/>
      <c r="O297" s="731"/>
      <c r="P297" s="731"/>
      <c r="Q297" s="731"/>
      <c r="R297" s="731"/>
      <c r="S297" s="731"/>
      <c r="T297" s="731"/>
      <c r="U297" s="731"/>
      <c r="V297" s="731"/>
      <c r="W297" s="731"/>
      <c r="X297" s="731"/>
      <c r="Y297" s="731"/>
      <c r="Z297" s="731"/>
      <c r="AA297" s="731"/>
      <c r="AB297" s="731"/>
      <c r="AC297" s="731"/>
      <c r="AD297" s="731"/>
      <c r="AE297" s="731"/>
      <c r="AF297" s="731"/>
      <c r="AG297" s="731"/>
      <c r="AH297" s="731"/>
      <c r="AI297" s="731"/>
      <c r="AJ297" s="731"/>
      <c r="AK297" s="731"/>
      <c r="AL297" s="731"/>
      <c r="AM297" s="731"/>
      <c r="AN297" s="731"/>
      <c r="AO297" s="731"/>
      <c r="AP297" s="731"/>
      <c r="AQ297" s="731"/>
      <c r="AR297" s="731"/>
      <c r="AS297" s="102"/>
      <c r="AT297" s="80"/>
      <c r="AU297" s="39"/>
      <c r="AV297" s="39"/>
    </row>
    <row r="298" spans="1:48" ht="4.5" customHeight="1" x14ac:dyDescent="0.3">
      <c r="A298" s="48"/>
      <c r="B298" s="70"/>
      <c r="C298" s="31"/>
      <c r="D298" s="31"/>
      <c r="E298" s="34"/>
      <c r="F298" s="31"/>
      <c r="G298" s="31"/>
      <c r="H298" s="31"/>
      <c r="I298" s="31"/>
      <c r="J298" s="31"/>
      <c r="K298" s="11"/>
      <c r="L298" s="219"/>
      <c r="M298" s="219"/>
      <c r="N298" s="219"/>
      <c r="O298" s="219"/>
      <c r="P298" s="219"/>
      <c r="Q298" s="219"/>
      <c r="R298" s="219"/>
      <c r="S298" s="219"/>
      <c r="T298" s="219"/>
      <c r="U298" s="219"/>
      <c r="V298" s="219"/>
      <c r="W298" s="219"/>
      <c r="X298" s="219"/>
      <c r="Y298" s="219"/>
      <c r="Z298" s="219"/>
      <c r="AA298" s="219"/>
      <c r="AB298" s="219"/>
      <c r="AC298" s="219"/>
      <c r="AD298" s="219"/>
      <c r="AE298" s="219"/>
      <c r="AF298" s="219"/>
      <c r="AG298" s="219"/>
      <c r="AH298" s="219"/>
      <c r="AI298" s="219"/>
      <c r="AJ298" s="219"/>
      <c r="AK298" s="219"/>
      <c r="AL298" s="219"/>
      <c r="AM298" s="219"/>
      <c r="AN298" s="219"/>
      <c r="AO298" s="219"/>
      <c r="AP298" s="219"/>
      <c r="AQ298" s="219"/>
      <c r="AR298" s="219"/>
      <c r="AS298" s="102"/>
      <c r="AT298" s="80"/>
      <c r="AU298" s="39"/>
      <c r="AV298" s="39"/>
    </row>
    <row r="299" spans="1:48" ht="38.25" customHeight="1" x14ac:dyDescent="0.3">
      <c r="A299" s="48" t="s">
        <v>26</v>
      </c>
      <c r="B299" s="70"/>
      <c r="C299" s="31"/>
      <c r="D299" s="31"/>
      <c r="E299" s="32"/>
      <c r="F299" s="33"/>
      <c r="G299" s="31"/>
      <c r="H299" s="31"/>
      <c r="I299" s="31"/>
      <c r="J299" s="31"/>
      <c r="K299" s="11"/>
      <c r="L299" s="731" t="s">
        <v>1970</v>
      </c>
      <c r="M299" s="731"/>
      <c r="N299" s="731"/>
      <c r="O299" s="731"/>
      <c r="P299" s="731"/>
      <c r="Q299" s="731"/>
      <c r="R299" s="731"/>
      <c r="S299" s="731"/>
      <c r="T299" s="731"/>
      <c r="U299" s="731"/>
      <c r="V299" s="731"/>
      <c r="W299" s="731"/>
      <c r="X299" s="731"/>
      <c r="Y299" s="731"/>
      <c r="Z299" s="731"/>
      <c r="AA299" s="731"/>
      <c r="AB299" s="731"/>
      <c r="AC299" s="731"/>
      <c r="AD299" s="731"/>
      <c r="AE299" s="731"/>
      <c r="AF299" s="731"/>
      <c r="AG299" s="731"/>
      <c r="AH299" s="731"/>
      <c r="AI299" s="731"/>
      <c r="AJ299" s="731"/>
      <c r="AK299" s="731"/>
      <c r="AL299" s="731"/>
      <c r="AM299" s="731"/>
      <c r="AN299" s="731"/>
      <c r="AO299" s="731"/>
      <c r="AP299" s="731"/>
      <c r="AQ299" s="731"/>
      <c r="AR299" s="731"/>
      <c r="AS299" s="102"/>
      <c r="AT299" s="80"/>
      <c r="AU299" s="39"/>
      <c r="AV299" s="39"/>
    </row>
    <row r="300" spans="1:48" ht="4.5" customHeight="1" x14ac:dyDescent="0.3">
      <c r="A300" s="48"/>
      <c r="B300" s="70"/>
      <c r="E300" s="35"/>
      <c r="K300" s="11"/>
      <c r="L300" s="219"/>
      <c r="M300" s="219"/>
      <c r="N300" s="219"/>
      <c r="O300" s="219"/>
      <c r="P300" s="219"/>
      <c r="Q300" s="219"/>
      <c r="R300" s="219"/>
      <c r="S300" s="219"/>
      <c r="T300" s="219"/>
      <c r="U300" s="219"/>
      <c r="V300" s="219"/>
      <c r="W300" s="219"/>
      <c r="X300" s="219"/>
      <c r="Y300" s="219"/>
      <c r="Z300" s="219"/>
      <c r="AA300" s="219"/>
      <c r="AB300" s="219"/>
      <c r="AC300" s="219"/>
      <c r="AD300" s="219"/>
      <c r="AE300" s="219"/>
      <c r="AF300" s="219"/>
      <c r="AG300" s="219"/>
      <c r="AH300" s="219"/>
      <c r="AI300" s="219"/>
      <c r="AJ300" s="219"/>
      <c r="AK300" s="219"/>
      <c r="AL300" s="219"/>
      <c r="AM300" s="219"/>
      <c r="AN300" s="219"/>
      <c r="AO300" s="219"/>
      <c r="AP300" s="219"/>
      <c r="AQ300" s="219"/>
      <c r="AR300" s="219"/>
      <c r="AS300" s="102"/>
      <c r="AT300" s="80"/>
      <c r="AU300" s="39"/>
      <c r="AV300" s="39"/>
    </row>
    <row r="301" spans="1:48" ht="26.25" customHeight="1" x14ac:dyDescent="0.3">
      <c r="A301" s="48" t="s">
        <v>27</v>
      </c>
      <c r="B301" s="70"/>
      <c r="E301" s="11"/>
      <c r="F301" s="3"/>
      <c r="K301" s="11"/>
      <c r="L301" s="731" t="s">
        <v>1129</v>
      </c>
      <c r="M301" s="731"/>
      <c r="N301" s="731"/>
      <c r="O301" s="731"/>
      <c r="P301" s="731"/>
      <c r="Q301" s="731"/>
      <c r="R301" s="731"/>
      <c r="S301" s="731"/>
      <c r="T301" s="731"/>
      <c r="U301" s="731"/>
      <c r="V301" s="731"/>
      <c r="W301" s="731"/>
      <c r="X301" s="731"/>
      <c r="Y301" s="731"/>
      <c r="Z301" s="731"/>
      <c r="AA301" s="731"/>
      <c r="AB301" s="731"/>
      <c r="AC301" s="731"/>
      <c r="AD301" s="731"/>
      <c r="AE301" s="731"/>
      <c r="AF301" s="731"/>
      <c r="AG301" s="731"/>
      <c r="AH301" s="731"/>
      <c r="AI301" s="731"/>
      <c r="AJ301" s="731"/>
      <c r="AK301" s="731"/>
      <c r="AL301" s="731"/>
      <c r="AM301" s="731"/>
      <c r="AN301" s="731"/>
      <c r="AO301" s="731"/>
      <c r="AP301" s="731"/>
      <c r="AQ301" s="731"/>
      <c r="AR301" s="731"/>
      <c r="AS301" s="102"/>
      <c r="AT301" s="80"/>
      <c r="AU301" s="39"/>
      <c r="AV301" s="39"/>
    </row>
    <row r="302" spans="1:48" ht="4.5" customHeight="1" x14ac:dyDescent="0.3">
      <c r="A302" s="48"/>
      <c r="B302" s="70"/>
      <c r="E302" s="11"/>
      <c r="K302" s="11"/>
      <c r="L302" s="219"/>
      <c r="M302" s="219"/>
      <c r="N302" s="219"/>
      <c r="O302" s="219"/>
      <c r="P302" s="219"/>
      <c r="Q302" s="219"/>
      <c r="R302" s="219"/>
      <c r="S302" s="219"/>
      <c r="T302" s="219"/>
      <c r="U302" s="219"/>
      <c r="V302" s="219"/>
      <c r="W302" s="219"/>
      <c r="X302" s="219"/>
      <c r="Y302" s="219"/>
      <c r="Z302" s="219"/>
      <c r="AA302" s="219"/>
      <c r="AB302" s="219"/>
      <c r="AC302" s="219"/>
      <c r="AD302" s="219"/>
      <c r="AE302" s="219"/>
      <c r="AF302" s="219"/>
      <c r="AG302" s="219"/>
      <c r="AH302" s="219"/>
      <c r="AI302" s="219"/>
      <c r="AJ302" s="219"/>
      <c r="AK302" s="219"/>
      <c r="AL302" s="219"/>
      <c r="AM302" s="219"/>
      <c r="AN302" s="219"/>
      <c r="AO302" s="219"/>
      <c r="AP302" s="219"/>
      <c r="AQ302" s="219"/>
      <c r="AR302" s="219"/>
      <c r="AS302" s="102"/>
      <c r="AT302" s="80"/>
      <c r="AU302" s="39"/>
      <c r="AV302" s="39"/>
    </row>
    <row r="303" spans="1:48" ht="26.25" customHeight="1" x14ac:dyDescent="0.3">
      <c r="A303" s="48" t="s">
        <v>310</v>
      </c>
      <c r="B303" s="70"/>
      <c r="C303" s="39"/>
      <c r="D303" s="39"/>
      <c r="E303" s="44"/>
      <c r="F303" s="39"/>
      <c r="G303" s="39"/>
      <c r="H303" s="39"/>
      <c r="I303" s="39"/>
      <c r="J303" s="39"/>
      <c r="K303" s="44"/>
      <c r="L303" s="731" t="s">
        <v>1130</v>
      </c>
      <c r="M303" s="731"/>
      <c r="N303" s="731"/>
      <c r="O303" s="731"/>
      <c r="P303" s="731"/>
      <c r="Q303" s="731"/>
      <c r="R303" s="731"/>
      <c r="S303" s="731"/>
      <c r="T303" s="731"/>
      <c r="U303" s="731"/>
      <c r="V303" s="731"/>
      <c r="W303" s="731"/>
      <c r="X303" s="731"/>
      <c r="Y303" s="731"/>
      <c r="Z303" s="731"/>
      <c r="AA303" s="731"/>
      <c r="AB303" s="731"/>
      <c r="AC303" s="731"/>
      <c r="AD303" s="731"/>
      <c r="AE303" s="731"/>
      <c r="AF303" s="731"/>
      <c r="AG303" s="731"/>
      <c r="AH303" s="731"/>
      <c r="AI303" s="731"/>
      <c r="AJ303" s="731"/>
      <c r="AK303" s="731"/>
      <c r="AL303" s="731"/>
      <c r="AM303" s="731"/>
      <c r="AN303" s="731"/>
      <c r="AO303" s="731"/>
      <c r="AP303" s="731"/>
      <c r="AQ303" s="731"/>
      <c r="AR303" s="731"/>
      <c r="AS303" s="102"/>
      <c r="AT303" s="80"/>
      <c r="AU303" s="39"/>
      <c r="AV303" s="39"/>
    </row>
    <row r="304" spans="1:48" ht="4.5" customHeight="1" x14ac:dyDescent="0.3">
      <c r="A304" s="77"/>
      <c r="B304" s="39"/>
      <c r="C304" s="31"/>
      <c r="D304" s="31"/>
      <c r="E304" s="32"/>
      <c r="F304" s="33"/>
      <c r="G304" s="31"/>
      <c r="H304" s="31"/>
      <c r="I304" s="31"/>
      <c r="J304" s="31"/>
      <c r="K304" s="83"/>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102"/>
      <c r="AT304" s="80"/>
      <c r="AU304" s="39"/>
      <c r="AV304" s="39"/>
    </row>
    <row r="305" spans="1:48" x14ac:dyDescent="0.3">
      <c r="A305" s="77"/>
      <c r="B305" s="39"/>
      <c r="C305" s="39"/>
      <c r="D305" s="39"/>
      <c r="E305" s="44"/>
      <c r="F305" s="48" t="s">
        <v>700</v>
      </c>
      <c r="G305" s="39"/>
      <c r="H305" s="39"/>
      <c r="I305" s="39"/>
      <c r="J305" s="728" t="str">
        <f>IF(calculations!M17,"describe corrective action proposed to correct any Red Flag or Yellow Flag ranking",IF(calculations!N17,"describe corrective action proposed to correct any Red Flag or Yellow Flag ranking",""))</f>
        <v/>
      </c>
      <c r="K305" s="729"/>
      <c r="L305" s="729"/>
      <c r="M305" s="729"/>
      <c r="N305" s="729"/>
      <c r="O305" s="729"/>
      <c r="P305" s="729"/>
      <c r="Q305" s="729"/>
      <c r="R305" s="729"/>
      <c r="S305" s="729"/>
      <c r="T305" s="729"/>
      <c r="U305" s="729"/>
      <c r="V305" s="729"/>
      <c r="W305" s="729"/>
      <c r="X305" s="729"/>
      <c r="Y305" s="729"/>
      <c r="Z305" s="729"/>
      <c r="AA305" s="729"/>
      <c r="AB305" s="729"/>
      <c r="AC305" s="729"/>
      <c r="AD305" s="729"/>
      <c r="AE305" s="729"/>
      <c r="AF305" s="729"/>
      <c r="AG305" s="729"/>
      <c r="AH305" s="729"/>
      <c r="AI305" s="729"/>
      <c r="AJ305" s="729"/>
      <c r="AK305" s="729"/>
      <c r="AL305" s="729"/>
      <c r="AM305" s="729"/>
      <c r="AN305" s="729"/>
      <c r="AO305" s="729"/>
      <c r="AP305" s="729"/>
      <c r="AQ305" s="729"/>
      <c r="AR305" s="730"/>
      <c r="AS305" s="102"/>
      <c r="AT305" s="80"/>
      <c r="AU305" s="39"/>
      <c r="AV305" s="39"/>
    </row>
    <row r="306" spans="1:48" ht="4.5" customHeight="1" x14ac:dyDescent="0.3">
      <c r="A306" s="77"/>
      <c r="B306" s="39"/>
      <c r="C306" s="39"/>
      <c r="D306" s="39"/>
      <c r="E306" s="44"/>
      <c r="F306" s="48"/>
      <c r="G306" s="39"/>
      <c r="H306" s="39"/>
      <c r="I306" s="39"/>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2"/>
      <c r="AT306" s="80"/>
      <c r="AU306" s="39"/>
      <c r="AV306" s="39"/>
    </row>
    <row r="307" spans="1:48" ht="38.25" customHeight="1" x14ac:dyDescent="0.3">
      <c r="A307" s="77"/>
      <c r="B307" s="39"/>
      <c r="C307" s="39"/>
      <c r="D307" s="39"/>
      <c r="E307" s="44"/>
      <c r="F307" s="55" t="str">
        <f>IF(J307&gt;"","REC",IF(calculations!M17,"REC",IF(calculations!N17,"REC","")))</f>
        <v/>
      </c>
      <c r="G307" s="38"/>
      <c r="J307" s="724" t="str">
        <f>IF(calculations!M17=TRUE,Rec!E27,IF(calculations!N17=TRUE,Rec!E28,""))</f>
        <v/>
      </c>
      <c r="K307" s="725"/>
      <c r="L307" s="725"/>
      <c r="M307" s="725"/>
      <c r="N307" s="725"/>
      <c r="O307" s="725"/>
      <c r="P307" s="725"/>
      <c r="Q307" s="725"/>
      <c r="R307" s="725"/>
      <c r="S307" s="725"/>
      <c r="T307" s="725"/>
      <c r="U307" s="725"/>
      <c r="V307" s="725"/>
      <c r="W307" s="725"/>
      <c r="X307" s="725"/>
      <c r="Y307" s="725"/>
      <c r="Z307" s="725"/>
      <c r="AA307" s="725"/>
      <c r="AB307" s="725"/>
      <c r="AC307" s="725"/>
      <c r="AD307" s="725"/>
      <c r="AE307" s="725"/>
      <c r="AF307" s="725"/>
      <c r="AG307" s="725"/>
      <c r="AH307" s="725"/>
      <c r="AI307" s="725"/>
      <c r="AJ307" s="725"/>
      <c r="AK307" s="725"/>
      <c r="AL307" s="725"/>
      <c r="AM307" s="725"/>
      <c r="AN307" s="725"/>
      <c r="AO307" s="725"/>
      <c r="AP307" s="725"/>
      <c r="AQ307" s="725"/>
      <c r="AR307" s="726"/>
      <c r="AS307" s="102"/>
      <c r="AT307" s="80"/>
      <c r="AU307" s="39"/>
      <c r="AV307" s="39"/>
    </row>
    <row r="308" spans="1:48" ht="12.75" customHeight="1" x14ac:dyDescent="0.3">
      <c r="A308" s="77"/>
      <c r="B308" s="39"/>
      <c r="C308" s="39"/>
      <c r="D308" s="39"/>
      <c r="E308" s="44"/>
      <c r="F308" s="37"/>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102"/>
      <c r="AT308" s="80"/>
      <c r="AU308" s="39"/>
      <c r="AV308" s="39"/>
    </row>
    <row r="309" spans="1:48" ht="14.15" x14ac:dyDescent="0.35">
      <c r="A309" s="743">
        <v>2.4</v>
      </c>
      <c r="B309" s="743"/>
      <c r="C309" s="39"/>
      <c r="D309" s="47" t="s">
        <v>183</v>
      </c>
      <c r="E309" s="44"/>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102"/>
      <c r="AT309" s="80"/>
      <c r="AU309" s="39"/>
      <c r="AV309" s="39"/>
    </row>
    <row r="310" spans="1:48" ht="4.5" customHeight="1" x14ac:dyDescent="0.3">
      <c r="A310" s="48"/>
      <c r="B310" s="70"/>
      <c r="E310" s="11"/>
      <c r="K310" s="11"/>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102"/>
      <c r="AT310" s="80"/>
      <c r="AU310" s="39"/>
      <c r="AV310" s="39"/>
    </row>
    <row r="311" spans="1:48" ht="26.25" customHeight="1" x14ac:dyDescent="0.3">
      <c r="A311" s="48" t="s">
        <v>29</v>
      </c>
      <c r="B311" s="70"/>
      <c r="C311" s="31"/>
      <c r="D311" s="31"/>
      <c r="E311" s="32"/>
      <c r="F311" s="33"/>
      <c r="G311" s="31"/>
      <c r="H311" s="31"/>
      <c r="I311" s="31"/>
      <c r="J311" s="215"/>
      <c r="K311" s="212"/>
      <c r="L311" s="731" t="s">
        <v>1118</v>
      </c>
      <c r="M311" s="731"/>
      <c r="N311" s="731"/>
      <c r="O311" s="731"/>
      <c r="P311" s="731"/>
      <c r="Q311" s="731"/>
      <c r="R311" s="731"/>
      <c r="S311" s="731"/>
      <c r="T311" s="731"/>
      <c r="U311" s="731"/>
      <c r="V311" s="731"/>
      <c r="W311" s="731"/>
      <c r="X311" s="731"/>
      <c r="Y311" s="731"/>
      <c r="Z311" s="731"/>
      <c r="AA311" s="731"/>
      <c r="AB311" s="731"/>
      <c r="AC311" s="731"/>
      <c r="AD311" s="731"/>
      <c r="AE311" s="731"/>
      <c r="AF311" s="731"/>
      <c r="AG311" s="731"/>
      <c r="AH311" s="731"/>
      <c r="AI311" s="731"/>
      <c r="AJ311" s="731"/>
      <c r="AK311" s="731"/>
      <c r="AL311" s="731"/>
      <c r="AM311" s="731"/>
      <c r="AN311" s="731"/>
      <c r="AO311" s="731"/>
      <c r="AP311" s="731"/>
      <c r="AQ311" s="731"/>
      <c r="AR311" s="731"/>
      <c r="AS311" s="102"/>
      <c r="AT311" s="80"/>
      <c r="AU311" s="39"/>
      <c r="AV311" s="39"/>
    </row>
    <row r="312" spans="1:48" ht="4.5" customHeight="1" x14ac:dyDescent="0.3">
      <c r="A312" s="13"/>
      <c r="B312" s="69"/>
      <c r="C312" s="31"/>
      <c r="D312" s="31"/>
      <c r="E312" s="34"/>
      <c r="F312" s="31"/>
      <c r="G312" s="31"/>
      <c r="H312" s="31"/>
      <c r="I312" s="31"/>
      <c r="J312" s="215"/>
      <c r="K312" s="212"/>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row>
    <row r="313" spans="1:48" ht="63.75" customHeight="1" x14ac:dyDescent="0.3">
      <c r="A313" s="13" t="s">
        <v>30</v>
      </c>
      <c r="B313" s="69"/>
      <c r="C313" s="31"/>
      <c r="D313" s="31"/>
      <c r="E313" s="32"/>
      <c r="F313" s="33"/>
      <c r="G313" s="31"/>
      <c r="H313" s="31"/>
      <c r="I313" s="31"/>
      <c r="J313" s="215"/>
      <c r="K313" s="212"/>
      <c r="L313" s="731" t="s">
        <v>1575</v>
      </c>
      <c r="M313" s="731"/>
      <c r="N313" s="731"/>
      <c r="O313" s="731"/>
      <c r="P313" s="731"/>
      <c r="Q313" s="731"/>
      <c r="R313" s="731"/>
      <c r="S313" s="731"/>
      <c r="T313" s="731"/>
      <c r="U313" s="731"/>
      <c r="V313" s="731"/>
      <c r="W313" s="731"/>
      <c r="X313" s="731"/>
      <c r="Y313" s="731"/>
      <c r="Z313" s="731"/>
      <c r="AA313" s="731"/>
      <c r="AB313" s="731"/>
      <c r="AC313" s="731"/>
      <c r="AD313" s="731"/>
      <c r="AE313" s="731"/>
      <c r="AF313" s="731"/>
      <c r="AG313" s="731"/>
      <c r="AH313" s="731"/>
      <c r="AI313" s="731"/>
      <c r="AJ313" s="731"/>
      <c r="AK313" s="731"/>
      <c r="AL313" s="731"/>
      <c r="AM313" s="731"/>
      <c r="AN313" s="731"/>
      <c r="AO313" s="731"/>
      <c r="AP313" s="731"/>
      <c r="AQ313" s="731"/>
      <c r="AR313" s="731"/>
    </row>
    <row r="314" spans="1:48" ht="4.5" customHeight="1" x14ac:dyDescent="0.3">
      <c r="A314" s="13"/>
      <c r="B314" s="69"/>
      <c r="C314" s="31"/>
      <c r="D314" s="31"/>
      <c r="E314" s="32"/>
      <c r="F314" s="33"/>
      <c r="G314" s="31"/>
      <c r="H314" s="31"/>
      <c r="I314" s="31"/>
      <c r="J314" s="215"/>
      <c r="K314" s="212"/>
      <c r="L314" s="219"/>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c r="AR314" s="219"/>
    </row>
    <row r="315" spans="1:48" ht="26.25" customHeight="1" x14ac:dyDescent="0.3">
      <c r="A315" s="13" t="s">
        <v>31</v>
      </c>
      <c r="B315" s="69"/>
      <c r="C315" s="31"/>
      <c r="D315" s="31"/>
      <c r="E315" s="34"/>
      <c r="F315" s="31"/>
      <c r="G315" s="31"/>
      <c r="H315" s="31"/>
      <c r="I315" s="31"/>
      <c r="J315" s="215"/>
      <c r="K315" s="212"/>
      <c r="L315" s="731" t="s">
        <v>1131</v>
      </c>
      <c r="M315" s="731"/>
      <c r="N315" s="731"/>
      <c r="O315" s="731"/>
      <c r="P315" s="731"/>
      <c r="Q315" s="731"/>
      <c r="R315" s="731"/>
      <c r="S315" s="731"/>
      <c r="T315" s="731"/>
      <c r="U315" s="731"/>
      <c r="V315" s="731"/>
      <c r="W315" s="731"/>
      <c r="X315" s="731"/>
      <c r="Y315" s="731"/>
      <c r="Z315" s="731"/>
      <c r="AA315" s="731"/>
      <c r="AB315" s="731"/>
      <c r="AC315" s="731"/>
      <c r="AD315" s="731"/>
      <c r="AE315" s="731"/>
      <c r="AF315" s="731"/>
      <c r="AG315" s="731"/>
      <c r="AH315" s="731"/>
      <c r="AI315" s="731"/>
      <c r="AJ315" s="731"/>
      <c r="AK315" s="731"/>
      <c r="AL315" s="731"/>
      <c r="AM315" s="731"/>
      <c r="AN315" s="731"/>
      <c r="AO315" s="731"/>
      <c r="AP315" s="731"/>
      <c r="AQ315" s="731"/>
      <c r="AR315" s="731"/>
    </row>
    <row r="316" spans="1:48" ht="4.5" customHeight="1" x14ac:dyDescent="0.3">
      <c r="A316" s="13"/>
      <c r="B316" s="69"/>
      <c r="C316" s="31"/>
      <c r="D316" s="31"/>
      <c r="E316" s="34"/>
      <c r="F316" s="31"/>
      <c r="G316" s="31"/>
      <c r="H316" s="31"/>
      <c r="I316" s="31"/>
      <c r="J316" s="215"/>
      <c r="K316" s="212"/>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row>
    <row r="317" spans="1:48" ht="35.25" customHeight="1" x14ac:dyDescent="0.3">
      <c r="A317" s="13" t="s">
        <v>32</v>
      </c>
      <c r="B317" s="69"/>
      <c r="C317" s="31"/>
      <c r="D317" s="31"/>
      <c r="E317" s="32"/>
      <c r="F317" s="33"/>
      <c r="G317" s="31"/>
      <c r="H317" s="31"/>
      <c r="I317" s="31"/>
      <c r="J317" s="215"/>
      <c r="K317" s="212"/>
      <c r="L317" s="731" t="str">
        <f>IF(calculations!B3=1,"1) Every lifeguard can explain the meaning of scanning in an aquatic setting. 
2) Either the 10/10 or the 10/20 rule is familiar to the guards and is stated policy of the organization.","1) Every lifeguard can explain the meaning of scanning in an aquatic setting. 
2) Either the 10/10 or the 10/20 rule is familiar to the guards and is stated policy of the association.")</f>
        <v>1) Every lifeguard can explain the meaning of scanning in an aquatic setting. 
2) Either the 10/10 or the 10/20 rule is familiar to the guards and is stated policy of the association.</v>
      </c>
      <c r="M317" s="731"/>
      <c r="N317" s="731"/>
      <c r="O317" s="731"/>
      <c r="P317" s="731"/>
      <c r="Q317" s="731"/>
      <c r="R317" s="731"/>
      <c r="S317" s="731"/>
      <c r="T317" s="731"/>
      <c r="U317" s="731"/>
      <c r="V317" s="731"/>
      <c r="W317" s="731"/>
      <c r="X317" s="731"/>
      <c r="Y317" s="731"/>
      <c r="Z317" s="731"/>
      <c r="AA317" s="731"/>
      <c r="AB317" s="731"/>
      <c r="AC317" s="731"/>
      <c r="AD317" s="731"/>
      <c r="AE317" s="731"/>
      <c r="AF317" s="731"/>
      <c r="AG317" s="731"/>
      <c r="AH317" s="731"/>
      <c r="AI317" s="731"/>
      <c r="AJ317" s="731"/>
      <c r="AK317" s="731"/>
      <c r="AL317" s="731"/>
      <c r="AM317" s="731"/>
      <c r="AN317" s="731"/>
      <c r="AO317" s="731"/>
      <c r="AP317" s="731"/>
      <c r="AQ317" s="731"/>
      <c r="AR317" s="731"/>
    </row>
    <row r="318" spans="1:48" ht="4.5" customHeight="1" x14ac:dyDescent="0.3">
      <c r="A318" s="13"/>
      <c r="B318" s="69"/>
      <c r="E318" s="35"/>
      <c r="J318" s="214"/>
      <c r="K318" s="212"/>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row>
    <row r="319" spans="1:48" ht="26.25" customHeight="1" x14ac:dyDescent="0.3">
      <c r="A319" s="13" t="s">
        <v>33</v>
      </c>
      <c r="B319" s="69"/>
      <c r="E319" s="11"/>
      <c r="F319" s="3"/>
      <c r="J319" s="214"/>
      <c r="K319" s="212"/>
      <c r="L319" s="731" t="s">
        <v>1132</v>
      </c>
      <c r="M319" s="731"/>
      <c r="N319" s="731"/>
      <c r="O319" s="731"/>
      <c r="P319" s="731"/>
      <c r="Q319" s="731"/>
      <c r="R319" s="731"/>
      <c r="S319" s="731"/>
      <c r="T319" s="731"/>
      <c r="U319" s="731"/>
      <c r="V319" s="731"/>
      <c r="W319" s="731"/>
      <c r="X319" s="731"/>
      <c r="Y319" s="731"/>
      <c r="Z319" s="731"/>
      <c r="AA319" s="731"/>
      <c r="AB319" s="731"/>
      <c r="AC319" s="731"/>
      <c r="AD319" s="731"/>
      <c r="AE319" s="731"/>
      <c r="AF319" s="731"/>
      <c r="AG319" s="731"/>
      <c r="AH319" s="731"/>
      <c r="AI319" s="731"/>
      <c r="AJ319" s="731"/>
      <c r="AK319" s="731"/>
      <c r="AL319" s="731"/>
      <c r="AM319" s="731"/>
      <c r="AN319" s="731"/>
      <c r="AO319" s="731"/>
      <c r="AP319" s="731"/>
      <c r="AQ319" s="731"/>
      <c r="AR319" s="731"/>
    </row>
    <row r="320" spans="1:48" ht="4.5" customHeight="1" x14ac:dyDescent="0.3">
      <c r="A320" s="13"/>
      <c r="B320" s="69"/>
      <c r="E320" s="11"/>
      <c r="J320" s="214"/>
      <c r="K320" s="212"/>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row>
    <row r="321" spans="1:45" ht="12.75" customHeight="1" x14ac:dyDescent="0.3">
      <c r="A321" s="13" t="s">
        <v>311</v>
      </c>
      <c r="B321" s="69"/>
      <c r="C321" s="39"/>
      <c r="D321" s="39"/>
      <c r="E321" s="44"/>
      <c r="F321" s="39"/>
      <c r="G321" s="39"/>
      <c r="H321" s="39"/>
      <c r="I321" s="39"/>
      <c r="J321" s="218"/>
      <c r="K321" s="219"/>
      <c r="L321" s="731" t="s">
        <v>1133</v>
      </c>
      <c r="M321" s="731"/>
      <c r="N321" s="731"/>
      <c r="O321" s="731"/>
      <c r="P321" s="731"/>
      <c r="Q321" s="731"/>
      <c r="R321" s="731"/>
      <c r="S321" s="731"/>
      <c r="T321" s="731"/>
      <c r="U321" s="731"/>
      <c r="V321" s="731"/>
      <c r="W321" s="731"/>
      <c r="X321" s="731"/>
      <c r="Y321" s="731"/>
      <c r="Z321" s="731"/>
      <c r="AA321" s="731"/>
      <c r="AB321" s="731"/>
      <c r="AC321" s="731"/>
      <c r="AD321" s="731"/>
      <c r="AE321" s="731"/>
      <c r="AF321" s="731"/>
      <c r="AG321" s="731"/>
      <c r="AH321" s="731"/>
      <c r="AI321" s="731"/>
      <c r="AJ321" s="731"/>
      <c r="AK321" s="731"/>
      <c r="AL321" s="731"/>
      <c r="AM321" s="731"/>
      <c r="AN321" s="731"/>
      <c r="AO321" s="731"/>
      <c r="AP321" s="731"/>
      <c r="AQ321" s="731"/>
      <c r="AR321" s="731"/>
    </row>
    <row r="322" spans="1:45" ht="4.5" customHeight="1" x14ac:dyDescent="0.3">
      <c r="C322" s="31"/>
      <c r="D322" s="31"/>
      <c r="E322" s="32"/>
      <c r="F322" s="33"/>
      <c r="G322" s="31"/>
      <c r="H322" s="31"/>
      <c r="I322" s="31"/>
      <c r="J322" s="215"/>
      <c r="K322" s="216"/>
      <c r="L322" s="226"/>
      <c r="M322" s="226"/>
      <c r="N322" s="226"/>
      <c r="O322" s="226"/>
      <c r="P322" s="226"/>
      <c r="Q322" s="226"/>
      <c r="R322" s="226"/>
      <c r="S322" s="226"/>
      <c r="T322" s="226"/>
      <c r="U322" s="226"/>
      <c r="V322" s="226"/>
      <c r="W322" s="226"/>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row>
    <row r="323" spans="1:45" x14ac:dyDescent="0.3">
      <c r="C323" s="39"/>
      <c r="D323" s="39"/>
      <c r="E323" s="44"/>
      <c r="F323" s="48" t="s">
        <v>700</v>
      </c>
      <c r="G323" s="39"/>
      <c r="H323" s="39"/>
      <c r="I323" s="39"/>
      <c r="J323" s="706" t="str">
        <f>IF(calculations!M18,"describe corrective action proposed to correct any Red Flag or Yellow Flag ranking",IF(calculations!N18,"describe corrective action proposed to correct any Red Flag or Yellow Flag ranking",""))</f>
        <v/>
      </c>
      <c r="K323" s="707"/>
      <c r="L323" s="707"/>
      <c r="M323" s="707"/>
      <c r="N323" s="707"/>
      <c r="O323" s="707"/>
      <c r="P323" s="707"/>
      <c r="Q323" s="707"/>
      <c r="R323" s="707"/>
      <c r="S323" s="707"/>
      <c r="T323" s="707"/>
      <c r="U323" s="707"/>
      <c r="V323" s="707"/>
      <c r="W323" s="707"/>
      <c r="X323" s="707"/>
      <c r="Y323" s="707"/>
      <c r="Z323" s="707"/>
      <c r="AA323" s="707"/>
      <c r="AB323" s="707"/>
      <c r="AC323" s="707"/>
      <c r="AD323" s="707"/>
      <c r="AE323" s="707"/>
      <c r="AF323" s="707"/>
      <c r="AG323" s="707"/>
      <c r="AH323" s="707"/>
      <c r="AI323" s="707"/>
      <c r="AJ323" s="707"/>
      <c r="AK323" s="707"/>
      <c r="AL323" s="707"/>
      <c r="AM323" s="707"/>
      <c r="AN323" s="707"/>
      <c r="AO323" s="707"/>
      <c r="AP323" s="707"/>
      <c r="AQ323" s="707"/>
      <c r="AR323" s="708"/>
    </row>
    <row r="324" spans="1:45" ht="4.5" customHeight="1" x14ac:dyDescent="0.3">
      <c r="C324" s="39"/>
      <c r="D324" s="39"/>
      <c r="E324" s="44"/>
      <c r="F324" s="48"/>
      <c r="G324" s="39"/>
      <c r="H324" s="39"/>
      <c r="I324" s="39"/>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row>
    <row r="325" spans="1:45" ht="26.25" customHeight="1" x14ac:dyDescent="0.3">
      <c r="C325" s="39"/>
      <c r="D325" s="39"/>
      <c r="E325" s="44"/>
      <c r="F325" s="55" t="str">
        <f>IF(J325&gt;"","REC",IF(calculations!M18,"REC",IF(calculations!N18,"REC","")))</f>
        <v/>
      </c>
      <c r="G325" s="38"/>
      <c r="J325" s="724" t="str">
        <f>IF(calculations!M18=TRUE,Rec!E29,IF(calculations!N18=TRUE,Rec!E30,""))</f>
        <v/>
      </c>
      <c r="K325" s="725"/>
      <c r="L325" s="725"/>
      <c r="M325" s="725"/>
      <c r="N325" s="725"/>
      <c r="O325" s="725"/>
      <c r="P325" s="725"/>
      <c r="Q325" s="725"/>
      <c r="R325" s="725"/>
      <c r="S325" s="725"/>
      <c r="T325" s="725"/>
      <c r="U325" s="725"/>
      <c r="V325" s="725"/>
      <c r="W325" s="725"/>
      <c r="X325" s="725"/>
      <c r="Y325" s="725"/>
      <c r="Z325" s="725"/>
      <c r="AA325" s="725"/>
      <c r="AB325" s="725"/>
      <c r="AC325" s="725"/>
      <c r="AD325" s="725"/>
      <c r="AE325" s="725"/>
      <c r="AF325" s="725"/>
      <c r="AG325" s="725"/>
      <c r="AH325" s="725"/>
      <c r="AI325" s="725"/>
      <c r="AJ325" s="725"/>
      <c r="AK325" s="725"/>
      <c r="AL325" s="725"/>
      <c r="AM325" s="725"/>
      <c r="AN325" s="725"/>
      <c r="AO325" s="725"/>
      <c r="AP325" s="725"/>
      <c r="AQ325" s="725"/>
      <c r="AR325" s="726"/>
    </row>
    <row r="326" spans="1:45" ht="12.75" customHeight="1" x14ac:dyDescent="0.3">
      <c r="A326" s="77"/>
      <c r="B326" s="39"/>
      <c r="C326" s="39"/>
      <c r="D326" s="39"/>
      <c r="E326" s="44"/>
      <c r="F326" s="37"/>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row>
    <row r="327" spans="1:45" ht="14.15" x14ac:dyDescent="0.35">
      <c r="A327" s="744">
        <v>2.5</v>
      </c>
      <c r="B327" s="744"/>
      <c r="C327" s="39"/>
      <c r="D327" s="47" t="s">
        <v>182</v>
      </c>
      <c r="E327" s="44"/>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row>
    <row r="328" spans="1:45" ht="4.5" customHeight="1" x14ac:dyDescent="0.3">
      <c r="A328" s="48"/>
      <c r="B328" s="70"/>
      <c r="E328" s="11"/>
      <c r="K328" s="11"/>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39"/>
    </row>
    <row r="329" spans="1:45" ht="26.25" customHeight="1" x14ac:dyDescent="0.3">
      <c r="A329" s="48" t="s">
        <v>35</v>
      </c>
      <c r="B329" s="70"/>
      <c r="C329" s="31"/>
      <c r="D329" s="31"/>
      <c r="E329" s="32"/>
      <c r="F329" s="33"/>
      <c r="G329" s="31"/>
      <c r="H329" s="31"/>
      <c r="I329" s="31"/>
      <c r="J329" s="215"/>
      <c r="K329" s="212"/>
      <c r="L329" s="731" t="s">
        <v>1118</v>
      </c>
      <c r="M329" s="731"/>
      <c r="N329" s="731"/>
      <c r="O329" s="731"/>
      <c r="P329" s="731"/>
      <c r="Q329" s="731"/>
      <c r="R329" s="731"/>
      <c r="S329" s="731"/>
      <c r="T329" s="731"/>
      <c r="U329" s="731"/>
      <c r="V329" s="731"/>
      <c r="W329" s="731"/>
      <c r="X329" s="731"/>
      <c r="Y329" s="731"/>
      <c r="Z329" s="731"/>
      <c r="AA329" s="731"/>
      <c r="AB329" s="731"/>
      <c r="AC329" s="731"/>
      <c r="AD329" s="731"/>
      <c r="AE329" s="731"/>
      <c r="AF329" s="731"/>
      <c r="AG329" s="731"/>
      <c r="AH329" s="731"/>
      <c r="AI329" s="731"/>
      <c r="AJ329" s="731"/>
      <c r="AK329" s="731"/>
      <c r="AL329" s="731"/>
      <c r="AM329" s="731"/>
      <c r="AN329" s="731"/>
      <c r="AO329" s="731"/>
      <c r="AP329" s="731"/>
      <c r="AQ329" s="731"/>
      <c r="AR329" s="731"/>
      <c r="AS329" s="39"/>
    </row>
    <row r="330" spans="1:45" ht="4.5" customHeight="1" x14ac:dyDescent="0.3">
      <c r="A330" s="48"/>
      <c r="B330" s="70"/>
      <c r="C330" s="31"/>
      <c r="D330" s="31"/>
      <c r="E330" s="34"/>
      <c r="F330" s="31"/>
      <c r="G330" s="31"/>
      <c r="H330" s="31"/>
      <c r="I330" s="31"/>
      <c r="J330" s="215"/>
      <c r="K330" s="212"/>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39"/>
    </row>
    <row r="331" spans="1:45" ht="38.25" customHeight="1" x14ac:dyDescent="0.3">
      <c r="A331" s="48" t="s">
        <v>36</v>
      </c>
      <c r="B331" s="70"/>
      <c r="C331" s="31"/>
      <c r="D331" s="31"/>
      <c r="E331" s="32"/>
      <c r="F331" s="33"/>
      <c r="G331" s="31"/>
      <c r="H331" s="31"/>
      <c r="I331" s="31"/>
      <c r="J331" s="215"/>
      <c r="K331" s="212"/>
      <c r="L331" s="731" t="s">
        <v>1134</v>
      </c>
      <c r="M331" s="731"/>
      <c r="N331" s="731"/>
      <c r="O331" s="731"/>
      <c r="P331" s="731"/>
      <c r="Q331" s="731"/>
      <c r="R331" s="731"/>
      <c r="S331" s="731"/>
      <c r="T331" s="731"/>
      <c r="U331" s="731"/>
      <c r="V331" s="731"/>
      <c r="W331" s="731"/>
      <c r="X331" s="731"/>
      <c r="Y331" s="731"/>
      <c r="Z331" s="731"/>
      <c r="AA331" s="731"/>
      <c r="AB331" s="731"/>
      <c r="AC331" s="731"/>
      <c r="AD331" s="731"/>
      <c r="AE331" s="731"/>
      <c r="AF331" s="731"/>
      <c r="AG331" s="731"/>
      <c r="AH331" s="731"/>
      <c r="AI331" s="731"/>
      <c r="AJ331" s="731"/>
      <c r="AK331" s="731"/>
      <c r="AL331" s="731"/>
      <c r="AM331" s="731"/>
      <c r="AN331" s="731"/>
      <c r="AO331" s="731"/>
      <c r="AP331" s="731"/>
      <c r="AQ331" s="731"/>
      <c r="AR331" s="731"/>
      <c r="AS331" s="39"/>
    </row>
    <row r="332" spans="1:45" ht="4.5" customHeight="1" x14ac:dyDescent="0.3">
      <c r="A332" s="48"/>
      <c r="B332" s="70"/>
      <c r="C332" s="31"/>
      <c r="D332" s="31"/>
      <c r="E332" s="32"/>
      <c r="F332" s="33"/>
      <c r="G332" s="31"/>
      <c r="H332" s="31"/>
      <c r="I332" s="31"/>
      <c r="J332" s="215"/>
      <c r="K332" s="212"/>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39"/>
    </row>
    <row r="333" spans="1:45" ht="66" customHeight="1" x14ac:dyDescent="0.3">
      <c r="A333" s="48" t="s">
        <v>37</v>
      </c>
      <c r="B333" s="70"/>
      <c r="C333" s="31"/>
      <c r="D333" s="31"/>
      <c r="E333" s="34"/>
      <c r="F333" s="31"/>
      <c r="G333" s="31"/>
      <c r="H333" s="31"/>
      <c r="I333" s="31"/>
      <c r="J333" s="215"/>
      <c r="K333" s="212"/>
      <c r="L333" s="731" t="s">
        <v>1813</v>
      </c>
      <c r="M333" s="731"/>
      <c r="N333" s="731"/>
      <c r="O333" s="731"/>
      <c r="P333" s="731"/>
      <c r="Q333" s="731"/>
      <c r="R333" s="731"/>
      <c r="S333" s="731"/>
      <c r="T333" s="731"/>
      <c r="U333" s="731"/>
      <c r="V333" s="731"/>
      <c r="W333" s="731"/>
      <c r="X333" s="731"/>
      <c r="Y333" s="731"/>
      <c r="Z333" s="731"/>
      <c r="AA333" s="731"/>
      <c r="AB333" s="731"/>
      <c r="AC333" s="731"/>
      <c r="AD333" s="731"/>
      <c r="AE333" s="731"/>
      <c r="AF333" s="731"/>
      <c r="AG333" s="731"/>
      <c r="AH333" s="731"/>
      <c r="AI333" s="731"/>
      <c r="AJ333" s="731"/>
      <c r="AK333" s="731"/>
      <c r="AL333" s="731"/>
      <c r="AM333" s="731"/>
      <c r="AN333" s="731"/>
      <c r="AO333" s="731"/>
      <c r="AP333" s="731"/>
      <c r="AQ333" s="731"/>
      <c r="AR333" s="731"/>
      <c r="AS333" s="39"/>
    </row>
    <row r="334" spans="1:45" ht="4.5" customHeight="1" x14ac:dyDescent="0.3">
      <c r="A334" s="48"/>
      <c r="B334" s="70"/>
      <c r="C334" s="31"/>
      <c r="D334" s="31"/>
      <c r="E334" s="34"/>
      <c r="F334" s="31"/>
      <c r="G334" s="31"/>
      <c r="H334" s="31"/>
      <c r="I334" s="31"/>
      <c r="J334" s="215"/>
      <c r="K334" s="212"/>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39"/>
    </row>
    <row r="335" spans="1:45" ht="109.5" customHeight="1" x14ac:dyDescent="0.3">
      <c r="A335" s="48" t="s">
        <v>38</v>
      </c>
      <c r="B335" s="70"/>
      <c r="C335" s="31"/>
      <c r="D335" s="31"/>
      <c r="E335" s="32"/>
      <c r="F335" s="33"/>
      <c r="G335" s="31"/>
      <c r="H335" s="31"/>
      <c r="I335" s="31"/>
      <c r="J335" s="215"/>
      <c r="K335" s="212"/>
      <c r="L335" s="731" t="s">
        <v>1971</v>
      </c>
      <c r="M335" s="731"/>
      <c r="N335" s="731"/>
      <c r="O335" s="731"/>
      <c r="P335" s="731"/>
      <c r="Q335" s="731"/>
      <c r="R335" s="731"/>
      <c r="S335" s="731"/>
      <c r="T335" s="731"/>
      <c r="U335" s="731"/>
      <c r="V335" s="731"/>
      <c r="W335" s="731"/>
      <c r="X335" s="731"/>
      <c r="Y335" s="731"/>
      <c r="Z335" s="731"/>
      <c r="AA335" s="731"/>
      <c r="AB335" s="731"/>
      <c r="AC335" s="731"/>
      <c r="AD335" s="731"/>
      <c r="AE335" s="731"/>
      <c r="AF335" s="731"/>
      <c r="AG335" s="731"/>
      <c r="AH335" s="731"/>
      <c r="AI335" s="731"/>
      <c r="AJ335" s="731"/>
      <c r="AK335" s="731"/>
      <c r="AL335" s="731"/>
      <c r="AM335" s="731"/>
      <c r="AN335" s="731"/>
      <c r="AO335" s="731"/>
      <c r="AP335" s="731"/>
      <c r="AQ335" s="731"/>
      <c r="AR335" s="731"/>
      <c r="AS335" s="39"/>
    </row>
    <row r="336" spans="1:45" ht="4.5" customHeight="1" x14ac:dyDescent="0.3">
      <c r="A336" s="48"/>
      <c r="B336" s="70"/>
      <c r="E336" s="35"/>
      <c r="J336" s="214"/>
      <c r="K336" s="212"/>
      <c r="L336" s="219"/>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c r="AL336" s="219"/>
      <c r="AM336" s="219"/>
      <c r="AN336" s="219"/>
      <c r="AO336" s="219"/>
      <c r="AP336" s="219"/>
      <c r="AQ336" s="219"/>
      <c r="AR336" s="219"/>
      <c r="AS336" s="39"/>
    </row>
    <row r="337" spans="1:45" ht="48" customHeight="1" x14ac:dyDescent="0.3">
      <c r="A337" s="48" t="s">
        <v>39</v>
      </c>
      <c r="B337" s="70"/>
      <c r="E337" s="11"/>
      <c r="F337" s="3"/>
      <c r="J337" s="214"/>
      <c r="K337" s="212"/>
      <c r="L337" s="731" t="s">
        <v>1136</v>
      </c>
      <c r="M337" s="731"/>
      <c r="N337" s="731"/>
      <c r="O337" s="731"/>
      <c r="P337" s="731"/>
      <c r="Q337" s="731"/>
      <c r="R337" s="731"/>
      <c r="S337" s="731"/>
      <c r="T337" s="731"/>
      <c r="U337" s="731"/>
      <c r="V337" s="731"/>
      <c r="W337" s="731"/>
      <c r="X337" s="731"/>
      <c r="Y337" s="731"/>
      <c r="Z337" s="731"/>
      <c r="AA337" s="731"/>
      <c r="AB337" s="731"/>
      <c r="AC337" s="731"/>
      <c r="AD337" s="731"/>
      <c r="AE337" s="731"/>
      <c r="AF337" s="731"/>
      <c r="AG337" s="731"/>
      <c r="AH337" s="731"/>
      <c r="AI337" s="731"/>
      <c r="AJ337" s="731"/>
      <c r="AK337" s="731"/>
      <c r="AL337" s="731"/>
      <c r="AM337" s="731"/>
      <c r="AN337" s="731"/>
      <c r="AO337" s="731"/>
      <c r="AP337" s="731"/>
      <c r="AQ337" s="731"/>
      <c r="AR337" s="731"/>
      <c r="AS337" s="39"/>
    </row>
    <row r="338" spans="1:45" ht="4.5" customHeight="1" x14ac:dyDescent="0.3">
      <c r="A338" s="48"/>
      <c r="B338" s="70"/>
      <c r="E338" s="11"/>
      <c r="J338" s="214"/>
      <c r="K338" s="212"/>
      <c r="L338" s="219"/>
      <c r="M338" s="219"/>
      <c r="N338" s="219"/>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c r="AL338" s="219"/>
      <c r="AM338" s="219"/>
      <c r="AN338" s="219"/>
      <c r="AO338" s="219"/>
      <c r="AP338" s="219"/>
      <c r="AQ338" s="219"/>
      <c r="AR338" s="219"/>
      <c r="AS338" s="39"/>
    </row>
    <row r="339" spans="1:45" ht="26.25" customHeight="1" x14ac:dyDescent="0.3">
      <c r="A339" s="48" t="s">
        <v>312</v>
      </c>
      <c r="B339" s="70"/>
      <c r="C339" s="39"/>
      <c r="D339" s="39"/>
      <c r="E339" s="44"/>
      <c r="F339" s="39"/>
      <c r="G339" s="39"/>
      <c r="H339" s="39"/>
      <c r="I339" s="39"/>
      <c r="J339" s="218"/>
      <c r="K339" s="219"/>
      <c r="L339" s="731" t="s">
        <v>1135</v>
      </c>
      <c r="M339" s="731"/>
      <c r="N339" s="731"/>
      <c r="O339" s="731"/>
      <c r="P339" s="731"/>
      <c r="Q339" s="731"/>
      <c r="R339" s="731"/>
      <c r="S339" s="731"/>
      <c r="T339" s="731"/>
      <c r="U339" s="731"/>
      <c r="V339" s="731"/>
      <c r="W339" s="731"/>
      <c r="X339" s="731"/>
      <c r="Y339" s="731"/>
      <c r="Z339" s="731"/>
      <c r="AA339" s="731"/>
      <c r="AB339" s="731"/>
      <c r="AC339" s="731"/>
      <c r="AD339" s="731"/>
      <c r="AE339" s="731"/>
      <c r="AF339" s="731"/>
      <c r="AG339" s="731"/>
      <c r="AH339" s="731"/>
      <c r="AI339" s="731"/>
      <c r="AJ339" s="731"/>
      <c r="AK339" s="731"/>
      <c r="AL339" s="731"/>
      <c r="AM339" s="731"/>
      <c r="AN339" s="731"/>
      <c r="AO339" s="731"/>
      <c r="AP339" s="731"/>
      <c r="AQ339" s="731"/>
      <c r="AR339" s="731"/>
      <c r="AS339" s="39"/>
    </row>
    <row r="340" spans="1:45" ht="4.5" customHeight="1" x14ac:dyDescent="0.3">
      <c r="A340" s="77"/>
      <c r="B340" s="39"/>
      <c r="C340" s="31"/>
      <c r="D340" s="31"/>
      <c r="E340" s="32"/>
      <c r="F340" s="33"/>
      <c r="G340" s="31"/>
      <c r="H340" s="31"/>
      <c r="I340" s="31"/>
      <c r="J340" s="215"/>
      <c r="K340" s="216"/>
      <c r="L340" s="226"/>
      <c r="M340" s="226"/>
      <c r="N340" s="226"/>
      <c r="O340" s="226"/>
      <c r="P340" s="226"/>
      <c r="Q340" s="226"/>
      <c r="R340" s="226"/>
      <c r="S340" s="226"/>
      <c r="T340" s="226"/>
      <c r="U340" s="226"/>
      <c r="V340" s="226"/>
      <c r="W340" s="226"/>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c r="AS340" s="39"/>
    </row>
    <row r="341" spans="1:45" x14ac:dyDescent="0.3">
      <c r="A341" s="77"/>
      <c r="B341" s="39"/>
      <c r="C341" s="39"/>
      <c r="D341" s="39"/>
      <c r="E341" s="44"/>
      <c r="F341" s="48" t="s">
        <v>700</v>
      </c>
      <c r="G341" s="39"/>
      <c r="H341" s="39"/>
      <c r="I341" s="39"/>
      <c r="J341" s="706" t="str">
        <f>IF(calculations!M19,"describe corrective action proposed to correct any Red Flag or Yellow Flag ranking",IF(calculations!N19,"describe corrective action proposed to correct any Red Flag or Yellow Flag ranking","we changed the criteria"))</f>
        <v>we changed the criteria</v>
      </c>
      <c r="K341" s="707"/>
      <c r="L341" s="707"/>
      <c r="M341" s="707"/>
      <c r="N341" s="707"/>
      <c r="O341" s="707"/>
      <c r="P341" s="707"/>
      <c r="Q341" s="707"/>
      <c r="R341" s="707"/>
      <c r="S341" s="707"/>
      <c r="T341" s="707"/>
      <c r="U341" s="707"/>
      <c r="V341" s="707"/>
      <c r="W341" s="707"/>
      <c r="X341" s="707"/>
      <c r="Y341" s="707"/>
      <c r="Z341" s="707"/>
      <c r="AA341" s="707"/>
      <c r="AB341" s="707"/>
      <c r="AC341" s="707"/>
      <c r="AD341" s="707"/>
      <c r="AE341" s="707"/>
      <c r="AF341" s="707"/>
      <c r="AG341" s="707"/>
      <c r="AH341" s="707"/>
      <c r="AI341" s="707"/>
      <c r="AJ341" s="707"/>
      <c r="AK341" s="707"/>
      <c r="AL341" s="707"/>
      <c r="AM341" s="707"/>
      <c r="AN341" s="707"/>
      <c r="AO341" s="707"/>
      <c r="AP341" s="707"/>
      <c r="AQ341" s="707"/>
      <c r="AR341" s="708"/>
      <c r="AS341" s="39"/>
    </row>
    <row r="342" spans="1:45" ht="4.5" customHeight="1" x14ac:dyDescent="0.3">
      <c r="A342" s="77"/>
      <c r="B342" s="39"/>
      <c r="C342" s="39"/>
      <c r="D342" s="39"/>
      <c r="E342" s="44"/>
      <c r="F342" s="48"/>
      <c r="G342" s="39"/>
      <c r="H342" s="39"/>
      <c r="I342" s="39"/>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39"/>
    </row>
    <row r="343" spans="1:45" ht="87" customHeight="1" x14ac:dyDescent="0.3">
      <c r="A343" s="77"/>
      <c r="B343" s="39"/>
      <c r="C343" s="39"/>
      <c r="D343" s="39"/>
      <c r="E343" s="44"/>
      <c r="F343" s="55" t="str">
        <f>IF(J343&gt;"","REC",IF(calculations!M19,"REC",IF(calculations!N19,"REC","")))</f>
        <v/>
      </c>
      <c r="G343" s="38"/>
      <c r="J343" s="724" t="str">
        <f>IF(calculations!M19=TRUE,Rec!E32,IF(calculations!N19=TRUE,Rec!E33,IF(calculations!L19=TRUE,Rec!E31,"")))</f>
        <v/>
      </c>
      <c r="K343" s="725"/>
      <c r="L343" s="725"/>
      <c r="M343" s="725"/>
      <c r="N343" s="725"/>
      <c r="O343" s="725"/>
      <c r="P343" s="725"/>
      <c r="Q343" s="725"/>
      <c r="R343" s="725"/>
      <c r="S343" s="725"/>
      <c r="T343" s="725"/>
      <c r="U343" s="725"/>
      <c r="V343" s="725"/>
      <c r="W343" s="725"/>
      <c r="X343" s="725"/>
      <c r="Y343" s="725"/>
      <c r="Z343" s="725"/>
      <c r="AA343" s="725"/>
      <c r="AB343" s="725"/>
      <c r="AC343" s="725"/>
      <c r="AD343" s="725"/>
      <c r="AE343" s="725"/>
      <c r="AF343" s="725"/>
      <c r="AG343" s="725"/>
      <c r="AH343" s="725"/>
      <c r="AI343" s="725"/>
      <c r="AJ343" s="725"/>
      <c r="AK343" s="725"/>
      <c r="AL343" s="725"/>
      <c r="AM343" s="725"/>
      <c r="AN343" s="725"/>
      <c r="AO343" s="725"/>
      <c r="AP343" s="725"/>
      <c r="AQ343" s="725"/>
      <c r="AR343" s="726"/>
      <c r="AS343" s="39"/>
    </row>
    <row r="344" spans="1:45" ht="13.5" customHeight="1" x14ac:dyDescent="0.3">
      <c r="E344" s="11"/>
      <c r="F344" s="37"/>
    </row>
    <row r="345" spans="1:45" ht="14.15" x14ac:dyDescent="0.35">
      <c r="A345" s="735">
        <v>2.6</v>
      </c>
      <c r="B345" s="735"/>
      <c r="D345" s="30" t="s">
        <v>181</v>
      </c>
      <c r="E345" s="11"/>
    </row>
    <row r="346" spans="1:45" ht="4.5" customHeight="1" x14ac:dyDescent="0.3">
      <c r="A346" s="13"/>
      <c r="B346" s="69"/>
      <c r="E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row>
    <row r="347" spans="1:45" ht="26.25" customHeight="1" x14ac:dyDescent="0.3">
      <c r="A347" s="13" t="s">
        <v>41</v>
      </c>
      <c r="B347" s="69"/>
      <c r="C347" s="31"/>
      <c r="D347" s="31"/>
      <c r="E347" s="32"/>
      <c r="F347" s="33"/>
      <c r="G347" s="31"/>
      <c r="H347" s="31"/>
      <c r="I347" s="31"/>
      <c r="J347" s="215"/>
      <c r="K347" s="212"/>
      <c r="L347" s="731" t="s">
        <v>1118</v>
      </c>
      <c r="M347" s="731"/>
      <c r="N347" s="731"/>
      <c r="O347" s="731"/>
      <c r="P347" s="731"/>
      <c r="Q347" s="731"/>
      <c r="R347" s="731"/>
      <c r="S347" s="731"/>
      <c r="T347" s="731"/>
      <c r="U347" s="731"/>
      <c r="V347" s="731"/>
      <c r="W347" s="731"/>
      <c r="X347" s="731"/>
      <c r="Y347" s="731"/>
      <c r="Z347" s="731"/>
      <c r="AA347" s="731"/>
      <c r="AB347" s="731"/>
      <c r="AC347" s="731"/>
      <c r="AD347" s="731"/>
      <c r="AE347" s="731"/>
      <c r="AF347" s="731"/>
      <c r="AG347" s="731"/>
      <c r="AH347" s="731"/>
      <c r="AI347" s="731"/>
      <c r="AJ347" s="731"/>
      <c r="AK347" s="731"/>
      <c r="AL347" s="731"/>
      <c r="AM347" s="731"/>
      <c r="AN347" s="731"/>
      <c r="AO347" s="731"/>
      <c r="AP347" s="731"/>
      <c r="AQ347" s="731"/>
      <c r="AR347" s="731"/>
    </row>
    <row r="348" spans="1:45" ht="4.5" customHeight="1" x14ac:dyDescent="0.3">
      <c r="A348" s="13"/>
      <c r="B348" s="69"/>
      <c r="C348" s="31"/>
      <c r="D348" s="31"/>
      <c r="E348" s="34"/>
      <c r="F348" s="31"/>
      <c r="G348" s="31"/>
      <c r="H348" s="31"/>
      <c r="I348" s="31"/>
      <c r="J348" s="215"/>
      <c r="K348" s="212"/>
      <c r="L348" s="212"/>
      <c r="M348" s="212"/>
      <c r="N348" s="212"/>
      <c r="O348" s="212"/>
      <c r="P348" s="212"/>
      <c r="Q348" s="212"/>
      <c r="R348" s="212"/>
      <c r="S348" s="212"/>
      <c r="T348" s="212"/>
      <c r="U348" s="212"/>
      <c r="V348" s="212"/>
      <c r="W348" s="212"/>
      <c r="X348" s="212"/>
      <c r="Y348" s="212"/>
      <c r="Z348" s="212"/>
      <c r="AA348" s="212"/>
      <c r="AB348" s="212"/>
      <c r="AC348" s="212"/>
      <c r="AD348" s="212"/>
      <c r="AE348" s="212"/>
      <c r="AF348" s="212"/>
      <c r="AG348" s="212"/>
      <c r="AH348" s="212"/>
      <c r="AI348" s="212"/>
      <c r="AJ348" s="212"/>
      <c r="AK348" s="212"/>
      <c r="AL348" s="212"/>
      <c r="AM348" s="212"/>
      <c r="AN348" s="212"/>
      <c r="AO348" s="212"/>
      <c r="AP348" s="212"/>
      <c r="AQ348" s="212"/>
      <c r="AR348" s="212"/>
    </row>
    <row r="349" spans="1:45" ht="27" customHeight="1" x14ac:dyDescent="0.3">
      <c r="A349" s="13" t="s">
        <v>42</v>
      </c>
      <c r="B349" s="70"/>
      <c r="C349" s="31"/>
      <c r="D349" s="31"/>
      <c r="E349" s="32"/>
      <c r="F349" s="33"/>
      <c r="G349" s="31"/>
      <c r="H349" s="31"/>
      <c r="I349" s="31"/>
      <c r="J349" s="215"/>
      <c r="K349" s="212"/>
      <c r="L349" s="731" t="s">
        <v>1576</v>
      </c>
      <c r="M349" s="731"/>
      <c r="N349" s="731"/>
      <c r="O349" s="731"/>
      <c r="P349" s="731"/>
      <c r="Q349" s="731"/>
      <c r="R349" s="731"/>
      <c r="S349" s="731"/>
      <c r="T349" s="731"/>
      <c r="U349" s="731"/>
      <c r="V349" s="731"/>
      <c r="W349" s="731"/>
      <c r="X349" s="731"/>
      <c r="Y349" s="731"/>
      <c r="Z349" s="731"/>
      <c r="AA349" s="731"/>
      <c r="AB349" s="731"/>
      <c r="AC349" s="731"/>
      <c r="AD349" s="731"/>
      <c r="AE349" s="731"/>
      <c r="AF349" s="731"/>
      <c r="AG349" s="731"/>
      <c r="AH349" s="731"/>
      <c r="AI349" s="731"/>
      <c r="AJ349" s="731"/>
      <c r="AK349" s="731"/>
      <c r="AL349" s="731"/>
      <c r="AM349" s="731"/>
      <c r="AN349" s="731"/>
      <c r="AO349" s="731"/>
      <c r="AP349" s="731"/>
      <c r="AQ349" s="731"/>
      <c r="AR349" s="731"/>
    </row>
    <row r="350" spans="1:45" ht="4.5" customHeight="1" x14ac:dyDescent="0.3">
      <c r="A350" s="13"/>
      <c r="B350" s="70"/>
      <c r="C350" s="31"/>
      <c r="D350" s="31"/>
      <c r="E350" s="32"/>
      <c r="F350" s="33"/>
      <c r="G350" s="31"/>
      <c r="H350" s="31"/>
      <c r="I350" s="31"/>
      <c r="J350" s="215"/>
      <c r="K350" s="212"/>
      <c r="L350" s="219"/>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row>
    <row r="351" spans="1:45" ht="24.75" customHeight="1" x14ac:dyDescent="0.3">
      <c r="A351" s="13" t="s">
        <v>43</v>
      </c>
      <c r="B351" s="70"/>
      <c r="C351" s="31"/>
      <c r="D351" s="31"/>
      <c r="E351" s="34"/>
      <c r="F351" s="31"/>
      <c r="G351" s="31"/>
      <c r="H351" s="31"/>
      <c r="I351" s="31"/>
      <c r="J351" s="215"/>
      <c r="K351" s="212"/>
      <c r="L351" s="731" t="s">
        <v>1137</v>
      </c>
      <c r="M351" s="731"/>
      <c r="N351" s="731"/>
      <c r="O351" s="731"/>
      <c r="P351" s="731"/>
      <c r="Q351" s="731"/>
      <c r="R351" s="731"/>
      <c r="S351" s="731"/>
      <c r="T351" s="731"/>
      <c r="U351" s="731"/>
      <c r="V351" s="731"/>
      <c r="W351" s="731"/>
      <c r="X351" s="731"/>
      <c r="Y351" s="731"/>
      <c r="Z351" s="731"/>
      <c r="AA351" s="731"/>
      <c r="AB351" s="731"/>
      <c r="AC351" s="731"/>
      <c r="AD351" s="731"/>
      <c r="AE351" s="731"/>
      <c r="AF351" s="731"/>
      <c r="AG351" s="731"/>
      <c r="AH351" s="731"/>
      <c r="AI351" s="731"/>
      <c r="AJ351" s="731"/>
      <c r="AK351" s="731"/>
      <c r="AL351" s="731"/>
      <c r="AM351" s="731"/>
      <c r="AN351" s="731"/>
      <c r="AO351" s="731"/>
      <c r="AP351" s="731"/>
      <c r="AQ351" s="731"/>
      <c r="AR351" s="731"/>
    </row>
    <row r="352" spans="1:45" ht="4.5" customHeight="1" x14ac:dyDescent="0.3">
      <c r="A352" s="13"/>
      <c r="B352" s="70"/>
      <c r="C352" s="31"/>
      <c r="D352" s="31"/>
      <c r="E352" s="34"/>
      <c r="F352" s="31"/>
      <c r="G352" s="31"/>
      <c r="H352" s="31"/>
      <c r="I352" s="31"/>
      <c r="J352" s="215"/>
      <c r="K352" s="212"/>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c r="AP352" s="219"/>
      <c r="AQ352" s="219"/>
      <c r="AR352" s="219"/>
    </row>
    <row r="353" spans="1:49" ht="38.25" customHeight="1" x14ac:dyDescent="0.3">
      <c r="A353" s="13" t="s">
        <v>44</v>
      </c>
      <c r="B353" s="70"/>
      <c r="C353" s="31"/>
      <c r="D353" s="31"/>
      <c r="E353" s="32"/>
      <c r="F353" s="33"/>
      <c r="G353" s="31"/>
      <c r="H353" s="31"/>
      <c r="I353" s="31"/>
      <c r="J353" s="215"/>
      <c r="K353" s="212"/>
      <c r="L353" s="731" t="s">
        <v>1138</v>
      </c>
      <c r="M353" s="731"/>
      <c r="N353" s="731"/>
      <c r="O353" s="731"/>
      <c r="P353" s="731"/>
      <c r="Q353" s="731"/>
      <c r="R353" s="731"/>
      <c r="S353" s="731"/>
      <c r="T353" s="731"/>
      <c r="U353" s="731"/>
      <c r="V353" s="731"/>
      <c r="W353" s="731"/>
      <c r="X353" s="731"/>
      <c r="Y353" s="731"/>
      <c r="Z353" s="731"/>
      <c r="AA353" s="731"/>
      <c r="AB353" s="731"/>
      <c r="AC353" s="731"/>
      <c r="AD353" s="731"/>
      <c r="AE353" s="731"/>
      <c r="AF353" s="731"/>
      <c r="AG353" s="731"/>
      <c r="AH353" s="731"/>
      <c r="AI353" s="731"/>
      <c r="AJ353" s="731"/>
      <c r="AK353" s="731"/>
      <c r="AL353" s="731"/>
      <c r="AM353" s="731"/>
      <c r="AN353" s="731"/>
      <c r="AO353" s="731"/>
      <c r="AP353" s="731"/>
      <c r="AQ353" s="731"/>
      <c r="AR353" s="731"/>
    </row>
    <row r="354" spans="1:49" ht="4.5" customHeight="1" x14ac:dyDescent="0.3">
      <c r="A354" s="13"/>
      <c r="B354" s="70"/>
      <c r="E354" s="35"/>
      <c r="J354" s="214"/>
      <c r="K354" s="212"/>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row>
    <row r="355" spans="1:49" ht="12.75" customHeight="1" x14ac:dyDescent="0.3">
      <c r="A355" s="13" t="s">
        <v>45</v>
      </c>
      <c r="B355" s="70"/>
      <c r="E355" s="11"/>
      <c r="F355" s="3"/>
      <c r="J355" s="214"/>
      <c r="K355" s="212"/>
      <c r="L355" s="731" t="s">
        <v>1139</v>
      </c>
      <c r="M355" s="731"/>
      <c r="N355" s="731"/>
      <c r="O355" s="731"/>
      <c r="P355" s="731"/>
      <c r="Q355" s="731"/>
      <c r="R355" s="731"/>
      <c r="S355" s="731"/>
      <c r="T355" s="731"/>
      <c r="U355" s="731"/>
      <c r="V355" s="731"/>
      <c r="W355" s="731"/>
      <c r="X355" s="731"/>
      <c r="Y355" s="731"/>
      <c r="Z355" s="731"/>
      <c r="AA355" s="731"/>
      <c r="AB355" s="731"/>
      <c r="AC355" s="731"/>
      <c r="AD355" s="731"/>
      <c r="AE355" s="731"/>
      <c r="AF355" s="731"/>
      <c r="AG355" s="731"/>
      <c r="AH355" s="731"/>
      <c r="AI355" s="731"/>
      <c r="AJ355" s="731"/>
      <c r="AK355" s="731"/>
      <c r="AL355" s="731"/>
      <c r="AM355" s="731"/>
      <c r="AN355" s="731"/>
      <c r="AO355" s="731"/>
      <c r="AP355" s="731"/>
      <c r="AQ355" s="731"/>
      <c r="AR355" s="731"/>
    </row>
    <row r="356" spans="1:49" ht="4.5" customHeight="1" x14ac:dyDescent="0.3">
      <c r="A356" s="13"/>
      <c r="B356" s="69"/>
      <c r="E356" s="11"/>
      <c r="J356" s="214"/>
      <c r="K356" s="212"/>
      <c r="L356" s="212"/>
      <c r="M356" s="212"/>
      <c r="N356" s="212"/>
      <c r="O356" s="212"/>
      <c r="P356" s="212"/>
      <c r="Q356" s="212"/>
      <c r="R356" s="212"/>
      <c r="S356" s="212"/>
      <c r="T356" s="212"/>
      <c r="U356" s="212"/>
      <c r="V356" s="212"/>
      <c r="W356" s="212"/>
      <c r="X356" s="212"/>
      <c r="Y356" s="212"/>
      <c r="Z356" s="212"/>
      <c r="AA356" s="212"/>
      <c r="AB356" s="212"/>
      <c r="AC356" s="212"/>
      <c r="AD356" s="212"/>
      <c r="AE356" s="212"/>
      <c r="AF356" s="212"/>
      <c r="AG356" s="212"/>
      <c r="AH356" s="212"/>
      <c r="AI356" s="212"/>
      <c r="AJ356" s="212"/>
      <c r="AK356" s="212"/>
      <c r="AL356" s="212"/>
      <c r="AM356" s="212"/>
      <c r="AN356" s="212"/>
      <c r="AO356" s="212"/>
      <c r="AP356" s="212"/>
      <c r="AQ356" s="212"/>
      <c r="AR356" s="212"/>
    </row>
    <row r="357" spans="1:49" ht="12.75" customHeight="1" x14ac:dyDescent="0.3">
      <c r="A357" s="13" t="s">
        <v>46</v>
      </c>
      <c r="B357" s="69"/>
      <c r="C357" s="39"/>
      <c r="D357" s="39"/>
      <c r="E357" s="44"/>
      <c r="F357" s="39"/>
      <c r="G357" s="39"/>
      <c r="H357" s="39"/>
      <c r="I357" s="39"/>
      <c r="J357" s="218"/>
      <c r="K357" s="219"/>
      <c r="L357" s="717" t="s">
        <v>1140</v>
      </c>
      <c r="M357" s="717"/>
      <c r="N357" s="717"/>
      <c r="O357" s="717"/>
      <c r="P357" s="717"/>
      <c r="Q357" s="717"/>
      <c r="R357" s="717"/>
      <c r="S357" s="717"/>
      <c r="T357" s="717"/>
      <c r="U357" s="717"/>
      <c r="V357" s="717"/>
      <c r="W357" s="717"/>
      <c r="X357" s="717"/>
      <c r="Y357" s="717"/>
      <c r="Z357" s="717"/>
      <c r="AA357" s="717"/>
      <c r="AB357" s="717"/>
      <c r="AC357" s="717"/>
      <c r="AD357" s="717"/>
      <c r="AE357" s="717"/>
      <c r="AF357" s="717"/>
      <c r="AG357" s="717"/>
      <c r="AH357" s="717"/>
      <c r="AI357" s="717"/>
      <c r="AJ357" s="717"/>
      <c r="AK357" s="717"/>
      <c r="AL357" s="717"/>
      <c r="AM357" s="717"/>
      <c r="AN357" s="717"/>
      <c r="AO357" s="717"/>
      <c r="AP357" s="717"/>
      <c r="AQ357" s="717"/>
      <c r="AR357" s="717"/>
    </row>
    <row r="358" spans="1:49" ht="4.5" customHeight="1" x14ac:dyDescent="0.3">
      <c r="C358" s="31"/>
      <c r="D358" s="31"/>
      <c r="E358" s="32"/>
      <c r="F358" s="33"/>
      <c r="G358" s="31"/>
      <c r="H358" s="31"/>
      <c r="I358" s="31"/>
      <c r="J358" s="215"/>
      <c r="K358" s="216"/>
      <c r="L358" s="216"/>
      <c r="M358" s="216"/>
      <c r="N358" s="216"/>
      <c r="O358" s="216"/>
      <c r="P358" s="216"/>
      <c r="Q358" s="216"/>
      <c r="R358" s="216"/>
      <c r="S358" s="216"/>
      <c r="T358" s="216"/>
      <c r="U358" s="216"/>
      <c r="V358" s="216"/>
      <c r="W358" s="216"/>
      <c r="X358" s="216"/>
      <c r="Y358" s="216"/>
      <c r="Z358" s="216"/>
      <c r="AA358" s="216"/>
      <c r="AB358" s="216"/>
      <c r="AC358" s="216"/>
      <c r="AD358" s="216"/>
      <c r="AE358" s="216"/>
      <c r="AF358" s="216"/>
      <c r="AG358" s="216"/>
      <c r="AH358" s="216"/>
      <c r="AI358" s="216"/>
      <c r="AJ358" s="216"/>
      <c r="AK358" s="216"/>
      <c r="AL358" s="216"/>
      <c r="AM358" s="216"/>
      <c r="AN358" s="216"/>
      <c r="AO358" s="216"/>
      <c r="AP358" s="216"/>
      <c r="AQ358" s="216"/>
      <c r="AR358" s="216"/>
    </row>
    <row r="359" spans="1:49" x14ac:dyDescent="0.3">
      <c r="E359" s="11"/>
      <c r="F359" s="13" t="s">
        <v>700</v>
      </c>
      <c r="J359" s="706" t="str">
        <f>IF(calculations!M20,"describe corrective action proposed to correct any Red Flag or Yellow Flag ranking",IF(calculations!N20,"describe corrective action proposed to correct any Red Flag or Yellow Flag ranking","we changed the criteria"))</f>
        <v>we changed the criteria</v>
      </c>
      <c r="K359" s="707"/>
      <c r="L359" s="707"/>
      <c r="M359" s="707"/>
      <c r="N359" s="707"/>
      <c r="O359" s="707"/>
      <c r="P359" s="707"/>
      <c r="Q359" s="707"/>
      <c r="R359" s="707"/>
      <c r="S359" s="707"/>
      <c r="T359" s="707"/>
      <c r="U359" s="707"/>
      <c r="V359" s="707"/>
      <c r="W359" s="707"/>
      <c r="X359" s="707"/>
      <c r="Y359" s="707"/>
      <c r="Z359" s="707"/>
      <c r="AA359" s="707"/>
      <c r="AB359" s="707"/>
      <c r="AC359" s="707"/>
      <c r="AD359" s="707"/>
      <c r="AE359" s="707"/>
      <c r="AF359" s="707"/>
      <c r="AG359" s="707"/>
      <c r="AH359" s="707"/>
      <c r="AI359" s="707"/>
      <c r="AJ359" s="707"/>
      <c r="AK359" s="707"/>
      <c r="AL359" s="707"/>
      <c r="AM359" s="707"/>
      <c r="AN359" s="707"/>
      <c r="AO359" s="707"/>
      <c r="AP359" s="707"/>
      <c r="AQ359" s="707"/>
      <c r="AR359" s="708"/>
    </row>
    <row r="360" spans="1:49" ht="4.5" customHeight="1" x14ac:dyDescent="0.3">
      <c r="E360" s="11"/>
      <c r="F360" s="13"/>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row>
    <row r="361" spans="1:49" ht="38.25" customHeight="1" x14ac:dyDescent="0.3">
      <c r="E361" s="11"/>
      <c r="F361" s="55" t="str">
        <f>IF(J361&gt;"","REC",IF(calculations!M20,"REC",IF(calculations!N20,"REC","")))</f>
        <v/>
      </c>
      <c r="G361" s="38"/>
      <c r="J361" s="724" t="str">
        <f>IF(calculations!M20=TRUE,Rec!E34,IF(calculations!N20=TRUE,Rec!E35,""))</f>
        <v/>
      </c>
      <c r="K361" s="725"/>
      <c r="L361" s="725"/>
      <c r="M361" s="725"/>
      <c r="N361" s="725"/>
      <c r="O361" s="725"/>
      <c r="P361" s="725"/>
      <c r="Q361" s="725"/>
      <c r="R361" s="725"/>
      <c r="S361" s="725"/>
      <c r="T361" s="725"/>
      <c r="U361" s="725"/>
      <c r="V361" s="725"/>
      <c r="W361" s="725"/>
      <c r="X361" s="725"/>
      <c r="Y361" s="725"/>
      <c r="Z361" s="725"/>
      <c r="AA361" s="725"/>
      <c r="AB361" s="725"/>
      <c r="AC361" s="725"/>
      <c r="AD361" s="725"/>
      <c r="AE361" s="725"/>
      <c r="AF361" s="725"/>
      <c r="AG361" s="725"/>
      <c r="AH361" s="725"/>
      <c r="AI361" s="725"/>
      <c r="AJ361" s="725"/>
      <c r="AK361" s="725"/>
      <c r="AL361" s="725"/>
      <c r="AM361" s="725"/>
      <c r="AN361" s="725"/>
      <c r="AO361" s="725"/>
      <c r="AP361" s="725"/>
      <c r="AQ361" s="725"/>
      <c r="AR361" s="726"/>
    </row>
    <row r="362" spans="1:49" ht="13.5" customHeight="1" x14ac:dyDescent="0.3">
      <c r="E362" s="11"/>
      <c r="F362" s="37"/>
    </row>
    <row r="363" spans="1:49" ht="14.15" x14ac:dyDescent="0.35">
      <c r="A363" s="735">
        <v>2.7</v>
      </c>
      <c r="B363" s="735"/>
      <c r="D363" s="30" t="s">
        <v>180</v>
      </c>
      <c r="E363" s="11"/>
    </row>
    <row r="364" spans="1:49" ht="4.5" customHeight="1" x14ac:dyDescent="0.3">
      <c r="A364" s="13"/>
      <c r="B364" s="69"/>
      <c r="E364" s="11"/>
      <c r="K364" s="11"/>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39"/>
      <c r="AT364" s="80"/>
      <c r="AU364" s="39"/>
      <c r="AV364" s="39"/>
      <c r="AW364" s="39"/>
    </row>
    <row r="365" spans="1:49" ht="13.5" customHeight="1" x14ac:dyDescent="0.3">
      <c r="A365" s="13" t="s">
        <v>313</v>
      </c>
      <c r="B365" s="69"/>
      <c r="C365" s="31"/>
      <c r="D365" s="31"/>
      <c r="E365" s="32"/>
      <c r="F365" s="33"/>
      <c r="G365" s="31"/>
      <c r="H365" s="31"/>
      <c r="I365" s="31"/>
      <c r="J365" s="215"/>
      <c r="K365" s="212"/>
      <c r="L365" s="731" t="s">
        <v>1119</v>
      </c>
      <c r="M365" s="731"/>
      <c r="N365" s="731"/>
      <c r="O365" s="731"/>
      <c r="P365" s="731"/>
      <c r="Q365" s="731"/>
      <c r="R365" s="731"/>
      <c r="S365" s="731"/>
      <c r="T365" s="731"/>
      <c r="U365" s="731"/>
      <c r="V365" s="731"/>
      <c r="W365" s="731"/>
      <c r="X365" s="731"/>
      <c r="Y365" s="731"/>
      <c r="Z365" s="731"/>
      <c r="AA365" s="731"/>
      <c r="AB365" s="731"/>
      <c r="AC365" s="731"/>
      <c r="AD365" s="731"/>
      <c r="AE365" s="731"/>
      <c r="AF365" s="731"/>
      <c r="AG365" s="731"/>
      <c r="AH365" s="731"/>
      <c r="AI365" s="731"/>
      <c r="AJ365" s="731"/>
      <c r="AK365" s="731"/>
      <c r="AL365" s="731"/>
      <c r="AM365" s="731"/>
      <c r="AN365" s="731"/>
      <c r="AO365" s="731"/>
      <c r="AP365" s="731"/>
      <c r="AQ365" s="731"/>
      <c r="AR365" s="731"/>
      <c r="AS365" s="39"/>
      <c r="AT365" s="80"/>
      <c r="AU365" s="39"/>
      <c r="AV365" s="39"/>
      <c r="AW365" s="39"/>
    </row>
    <row r="366" spans="1:49" ht="4.5" customHeight="1" x14ac:dyDescent="0.3">
      <c r="A366" s="13"/>
      <c r="B366" s="69"/>
      <c r="C366" s="31"/>
      <c r="D366" s="31"/>
      <c r="E366" s="34"/>
      <c r="F366" s="31"/>
      <c r="G366" s="31"/>
      <c r="H366" s="31"/>
      <c r="I366" s="31"/>
      <c r="J366" s="215"/>
      <c r="K366" s="212"/>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39"/>
      <c r="AT366" s="80"/>
      <c r="AU366" s="39"/>
      <c r="AV366" s="39"/>
      <c r="AW366" s="39"/>
    </row>
    <row r="367" spans="1:49" ht="63.75" customHeight="1" x14ac:dyDescent="0.3">
      <c r="A367" s="13" t="s">
        <v>314</v>
      </c>
      <c r="B367" s="69"/>
      <c r="C367" s="31"/>
      <c r="D367" s="31"/>
      <c r="E367" s="32"/>
      <c r="F367" s="33"/>
      <c r="G367" s="31"/>
      <c r="H367" s="31"/>
      <c r="I367" s="31"/>
      <c r="J367" s="215"/>
      <c r="K367" s="212"/>
      <c r="L367" s="731" t="s">
        <v>1972</v>
      </c>
      <c r="M367" s="731"/>
      <c r="N367" s="731"/>
      <c r="O367" s="731"/>
      <c r="P367" s="731"/>
      <c r="Q367" s="731"/>
      <c r="R367" s="731"/>
      <c r="S367" s="731"/>
      <c r="T367" s="731"/>
      <c r="U367" s="731"/>
      <c r="V367" s="731"/>
      <c r="W367" s="731"/>
      <c r="X367" s="731"/>
      <c r="Y367" s="731"/>
      <c r="Z367" s="731"/>
      <c r="AA367" s="731"/>
      <c r="AB367" s="731"/>
      <c r="AC367" s="731"/>
      <c r="AD367" s="731"/>
      <c r="AE367" s="731"/>
      <c r="AF367" s="731"/>
      <c r="AG367" s="731"/>
      <c r="AH367" s="731"/>
      <c r="AI367" s="731"/>
      <c r="AJ367" s="731"/>
      <c r="AK367" s="731"/>
      <c r="AL367" s="731"/>
      <c r="AM367" s="731"/>
      <c r="AN367" s="731"/>
      <c r="AO367" s="731"/>
      <c r="AP367" s="731"/>
      <c r="AQ367" s="731"/>
      <c r="AR367" s="731"/>
      <c r="AS367" s="39"/>
      <c r="AT367" s="80"/>
      <c r="AU367" s="39"/>
      <c r="AV367" s="39"/>
      <c r="AW367" s="39"/>
    </row>
    <row r="368" spans="1:49" ht="4.5" customHeight="1" x14ac:dyDescent="0.3">
      <c r="A368" s="13"/>
      <c r="B368" s="69"/>
      <c r="C368" s="31"/>
      <c r="D368" s="31"/>
      <c r="E368" s="32"/>
      <c r="F368" s="33"/>
      <c r="G368" s="31"/>
      <c r="H368" s="31"/>
      <c r="I368" s="31"/>
      <c r="J368" s="215"/>
      <c r="K368" s="212"/>
      <c r="L368" s="219"/>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c r="AL368" s="219"/>
      <c r="AM368" s="219"/>
      <c r="AN368" s="219"/>
      <c r="AO368" s="219"/>
      <c r="AP368" s="219"/>
      <c r="AQ368" s="219"/>
      <c r="AR368" s="219"/>
      <c r="AS368" s="39"/>
      <c r="AT368" s="80"/>
      <c r="AU368" s="39"/>
      <c r="AV368" s="39"/>
      <c r="AW368" s="39"/>
    </row>
    <row r="369" spans="1:49" ht="49.5" customHeight="1" x14ac:dyDescent="0.3">
      <c r="A369" s="13" t="s">
        <v>315</v>
      </c>
      <c r="B369" s="69"/>
      <c r="C369" s="31"/>
      <c r="D369" s="31"/>
      <c r="E369" s="34"/>
      <c r="F369" s="31"/>
      <c r="G369" s="31"/>
      <c r="H369" s="31"/>
      <c r="I369" s="31"/>
      <c r="J369" s="215"/>
      <c r="K369" s="212"/>
      <c r="L369" s="731" t="s">
        <v>1141</v>
      </c>
      <c r="M369" s="731"/>
      <c r="N369" s="731"/>
      <c r="O369" s="731"/>
      <c r="P369" s="731"/>
      <c r="Q369" s="731"/>
      <c r="R369" s="731"/>
      <c r="S369" s="731"/>
      <c r="T369" s="731"/>
      <c r="U369" s="731"/>
      <c r="V369" s="731"/>
      <c r="W369" s="731"/>
      <c r="X369" s="731"/>
      <c r="Y369" s="731"/>
      <c r="Z369" s="731"/>
      <c r="AA369" s="731"/>
      <c r="AB369" s="731"/>
      <c r="AC369" s="731"/>
      <c r="AD369" s="731"/>
      <c r="AE369" s="731"/>
      <c r="AF369" s="731"/>
      <c r="AG369" s="731"/>
      <c r="AH369" s="731"/>
      <c r="AI369" s="731"/>
      <c r="AJ369" s="731"/>
      <c r="AK369" s="731"/>
      <c r="AL369" s="731"/>
      <c r="AM369" s="731"/>
      <c r="AN369" s="731"/>
      <c r="AO369" s="731"/>
      <c r="AP369" s="731"/>
      <c r="AQ369" s="731"/>
      <c r="AR369" s="731"/>
      <c r="AS369" s="39"/>
      <c r="AT369" s="80"/>
      <c r="AU369" s="39"/>
      <c r="AV369" s="39"/>
      <c r="AW369" s="39"/>
    </row>
    <row r="370" spans="1:49" ht="4.5" customHeight="1" x14ac:dyDescent="0.3">
      <c r="A370" s="13"/>
      <c r="B370" s="69"/>
      <c r="C370" s="31"/>
      <c r="D370" s="31"/>
      <c r="E370" s="34"/>
      <c r="F370" s="31"/>
      <c r="G370" s="31"/>
      <c r="H370" s="31"/>
      <c r="I370" s="31"/>
      <c r="J370" s="215"/>
      <c r="K370" s="212"/>
      <c r="L370" s="219"/>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c r="AL370" s="219"/>
      <c r="AM370" s="219"/>
      <c r="AN370" s="219"/>
      <c r="AO370" s="219"/>
      <c r="AP370" s="219"/>
      <c r="AQ370" s="219"/>
      <c r="AR370" s="219"/>
      <c r="AS370" s="39"/>
      <c r="AT370" s="80"/>
      <c r="AU370" s="39"/>
      <c r="AV370" s="39"/>
      <c r="AW370" s="39"/>
    </row>
    <row r="371" spans="1:49" ht="39.75" customHeight="1" x14ac:dyDescent="0.3">
      <c r="A371" s="13" t="s">
        <v>316</v>
      </c>
      <c r="B371" s="69"/>
      <c r="C371" s="31"/>
      <c r="D371" s="31"/>
      <c r="E371" s="32"/>
      <c r="F371" s="33"/>
      <c r="G371" s="31"/>
      <c r="H371" s="31"/>
      <c r="I371" s="31"/>
      <c r="J371" s="215"/>
      <c r="K371" s="212"/>
      <c r="L371" s="717" t="s">
        <v>1142</v>
      </c>
      <c r="M371" s="717"/>
      <c r="N371" s="717"/>
      <c r="O371" s="717"/>
      <c r="P371" s="717"/>
      <c r="Q371" s="717"/>
      <c r="R371" s="717"/>
      <c r="S371" s="717"/>
      <c r="T371" s="717"/>
      <c r="U371" s="717"/>
      <c r="V371" s="717"/>
      <c r="W371" s="717"/>
      <c r="X371" s="717"/>
      <c r="Y371" s="717"/>
      <c r="Z371" s="717"/>
      <c r="AA371" s="717"/>
      <c r="AB371" s="717"/>
      <c r="AC371" s="717"/>
      <c r="AD371" s="717"/>
      <c r="AE371" s="717"/>
      <c r="AF371" s="717"/>
      <c r="AG371" s="717"/>
      <c r="AH371" s="717"/>
      <c r="AI371" s="717"/>
      <c r="AJ371" s="717"/>
      <c r="AK371" s="717"/>
      <c r="AL371" s="717"/>
      <c r="AM371" s="717"/>
      <c r="AN371" s="717"/>
      <c r="AO371" s="717"/>
      <c r="AP371" s="717"/>
      <c r="AQ371" s="717"/>
      <c r="AR371" s="717"/>
      <c r="AV371" s="25"/>
    </row>
    <row r="372" spans="1:49" ht="0.75" customHeight="1" x14ac:dyDescent="0.3">
      <c r="A372" s="13"/>
      <c r="B372" s="69"/>
      <c r="E372" s="35"/>
      <c r="J372" s="214"/>
      <c r="K372" s="212"/>
      <c r="L372" s="717"/>
      <c r="M372" s="717"/>
      <c r="N372" s="717"/>
      <c r="O372" s="717"/>
      <c r="P372" s="717"/>
      <c r="Q372" s="717"/>
      <c r="R372" s="717"/>
      <c r="S372" s="717"/>
      <c r="T372" s="717"/>
      <c r="U372" s="717"/>
      <c r="V372" s="717"/>
      <c r="W372" s="717"/>
      <c r="X372" s="717"/>
      <c r="Y372" s="717"/>
      <c r="Z372" s="717"/>
      <c r="AA372" s="717"/>
      <c r="AB372" s="717"/>
      <c r="AC372" s="717"/>
      <c r="AD372" s="717"/>
      <c r="AE372" s="717"/>
      <c r="AF372" s="717"/>
      <c r="AG372" s="717"/>
      <c r="AH372" s="717"/>
      <c r="AI372" s="717"/>
      <c r="AJ372" s="717"/>
      <c r="AK372" s="717"/>
      <c r="AL372" s="717"/>
      <c r="AM372" s="717"/>
      <c r="AN372" s="717"/>
      <c r="AO372" s="717"/>
      <c r="AP372" s="717"/>
      <c r="AQ372" s="717"/>
      <c r="AR372" s="717"/>
    </row>
    <row r="373" spans="1:49" hidden="1" x14ac:dyDescent="0.3">
      <c r="A373" s="13"/>
      <c r="B373" s="69"/>
      <c r="E373" s="11"/>
      <c r="F373" s="3"/>
      <c r="J373" s="214"/>
      <c r="K373" s="212"/>
      <c r="L373" s="717"/>
      <c r="M373" s="717"/>
      <c r="N373" s="717"/>
      <c r="O373" s="717"/>
      <c r="P373" s="717"/>
      <c r="Q373" s="717"/>
      <c r="R373" s="717"/>
      <c r="S373" s="717"/>
      <c r="T373" s="717"/>
      <c r="U373" s="717"/>
      <c r="V373" s="717"/>
      <c r="W373" s="717"/>
      <c r="X373" s="717"/>
      <c r="Y373" s="717"/>
      <c r="Z373" s="717"/>
      <c r="AA373" s="717"/>
      <c r="AB373" s="717"/>
      <c r="AC373" s="717"/>
      <c r="AD373" s="717"/>
      <c r="AE373" s="717"/>
      <c r="AF373" s="717"/>
      <c r="AG373" s="717"/>
      <c r="AH373" s="717"/>
      <c r="AI373" s="717"/>
      <c r="AJ373" s="717"/>
      <c r="AK373" s="717"/>
      <c r="AL373" s="717"/>
      <c r="AM373" s="717"/>
      <c r="AN373" s="717"/>
      <c r="AO373" s="717"/>
      <c r="AP373" s="717"/>
      <c r="AQ373" s="717"/>
      <c r="AR373" s="717"/>
    </row>
    <row r="374" spans="1:49" ht="4.5" customHeight="1" x14ac:dyDescent="0.3">
      <c r="A374" s="13"/>
      <c r="B374" s="69"/>
      <c r="E374" s="11"/>
      <c r="J374" s="214"/>
      <c r="K374" s="212"/>
      <c r="L374" s="212"/>
      <c r="M374" s="212"/>
      <c r="N374" s="212"/>
      <c r="O374" s="212"/>
      <c r="P374" s="212"/>
      <c r="Q374" s="212"/>
      <c r="R374" s="212"/>
      <c r="S374" s="212"/>
      <c r="T374" s="212"/>
      <c r="U374" s="212"/>
      <c r="V374" s="212"/>
      <c r="W374" s="212"/>
      <c r="X374" s="212"/>
      <c r="Y374" s="212"/>
      <c r="Z374" s="212"/>
      <c r="AA374" s="212"/>
      <c r="AB374" s="212"/>
      <c r="AC374" s="212"/>
      <c r="AD374" s="212"/>
      <c r="AE374" s="212"/>
      <c r="AF374" s="212"/>
      <c r="AG374" s="212"/>
      <c r="AH374" s="212"/>
      <c r="AI374" s="212"/>
      <c r="AJ374" s="212"/>
      <c r="AK374" s="212"/>
      <c r="AL374" s="212"/>
      <c r="AM374" s="212"/>
      <c r="AN374" s="212"/>
      <c r="AO374" s="212"/>
      <c r="AP374" s="212"/>
      <c r="AQ374" s="212"/>
      <c r="AR374" s="212"/>
    </row>
    <row r="375" spans="1:49" ht="26.25" customHeight="1" x14ac:dyDescent="0.3">
      <c r="A375" s="13" t="s">
        <v>317</v>
      </c>
      <c r="B375" s="69"/>
      <c r="C375" s="39"/>
      <c r="D375" s="39"/>
      <c r="E375" s="44"/>
      <c r="F375" s="39"/>
      <c r="G375" s="39"/>
      <c r="H375" s="39"/>
      <c r="I375" s="39"/>
      <c r="J375" s="218"/>
      <c r="K375" s="219"/>
      <c r="L375" s="717" t="s">
        <v>1143</v>
      </c>
      <c r="M375" s="717"/>
      <c r="N375" s="717"/>
      <c r="O375" s="717"/>
      <c r="P375" s="717"/>
      <c r="Q375" s="717"/>
      <c r="R375" s="717"/>
      <c r="S375" s="717"/>
      <c r="T375" s="717"/>
      <c r="U375" s="717"/>
      <c r="V375" s="717"/>
      <c r="W375" s="717"/>
      <c r="X375" s="717"/>
      <c r="Y375" s="717"/>
      <c r="Z375" s="717"/>
      <c r="AA375" s="717"/>
      <c r="AB375" s="717"/>
      <c r="AC375" s="717"/>
      <c r="AD375" s="717"/>
      <c r="AE375" s="717"/>
      <c r="AF375" s="717"/>
      <c r="AG375" s="717"/>
      <c r="AH375" s="717"/>
      <c r="AI375" s="717"/>
      <c r="AJ375" s="717"/>
      <c r="AK375" s="717"/>
      <c r="AL375" s="717"/>
      <c r="AM375" s="717"/>
      <c r="AN375" s="717"/>
      <c r="AO375" s="717"/>
      <c r="AP375" s="717"/>
      <c r="AQ375" s="717"/>
      <c r="AR375" s="717"/>
    </row>
    <row r="376" spans="1:49" hidden="1" x14ac:dyDescent="0.3">
      <c r="A376" s="13"/>
      <c r="B376" s="69"/>
      <c r="C376" s="31"/>
      <c r="D376" s="31"/>
      <c r="E376" s="32"/>
      <c r="F376" s="33"/>
      <c r="G376" s="31"/>
      <c r="H376" s="31"/>
      <c r="I376" s="31"/>
      <c r="J376" s="215"/>
      <c r="K376" s="212"/>
      <c r="L376" s="717"/>
      <c r="M376" s="717"/>
      <c r="N376" s="717"/>
      <c r="O376" s="717"/>
      <c r="P376" s="717"/>
      <c r="Q376" s="717"/>
      <c r="R376" s="717"/>
      <c r="S376" s="717"/>
      <c r="T376" s="717"/>
      <c r="U376" s="717"/>
      <c r="V376" s="717"/>
      <c r="W376" s="717"/>
      <c r="X376" s="717"/>
      <c r="Y376" s="717"/>
      <c r="Z376" s="717"/>
      <c r="AA376" s="717"/>
      <c r="AB376" s="717"/>
      <c r="AC376" s="717"/>
      <c r="AD376" s="717"/>
      <c r="AE376" s="717"/>
      <c r="AF376" s="717"/>
      <c r="AG376" s="717"/>
      <c r="AH376" s="717"/>
      <c r="AI376" s="717"/>
      <c r="AJ376" s="717"/>
      <c r="AK376" s="717"/>
      <c r="AL376" s="717"/>
      <c r="AM376" s="717"/>
      <c r="AN376" s="717"/>
      <c r="AO376" s="717"/>
      <c r="AP376" s="717"/>
      <c r="AQ376" s="717"/>
      <c r="AR376" s="717"/>
    </row>
    <row r="377" spans="1:49" ht="4.5" customHeight="1" x14ac:dyDescent="0.3">
      <c r="A377" s="13"/>
      <c r="B377" s="69"/>
      <c r="E377" s="11"/>
      <c r="J377" s="214"/>
      <c r="K377" s="212"/>
      <c r="L377" s="212"/>
      <c r="M377" s="212"/>
      <c r="N377" s="212"/>
      <c r="O377" s="212"/>
      <c r="P377" s="212"/>
      <c r="Q377" s="212"/>
      <c r="R377" s="212"/>
      <c r="S377" s="212"/>
      <c r="T377" s="212"/>
      <c r="U377" s="212"/>
      <c r="V377" s="212"/>
      <c r="W377" s="212"/>
      <c r="X377" s="212"/>
      <c r="Y377" s="212"/>
      <c r="Z377" s="212"/>
      <c r="AA377" s="212"/>
      <c r="AB377" s="212"/>
      <c r="AC377" s="212"/>
      <c r="AD377" s="212"/>
      <c r="AE377" s="212"/>
      <c r="AF377" s="212"/>
      <c r="AG377" s="212"/>
      <c r="AH377" s="212"/>
      <c r="AI377" s="212"/>
      <c r="AJ377" s="212"/>
      <c r="AK377" s="212"/>
      <c r="AL377" s="212"/>
      <c r="AM377" s="212"/>
      <c r="AN377" s="212"/>
      <c r="AO377" s="212"/>
      <c r="AP377" s="212"/>
      <c r="AQ377" s="212"/>
      <c r="AR377" s="212"/>
    </row>
    <row r="378" spans="1:49" ht="12.75" customHeight="1" x14ac:dyDescent="0.3">
      <c r="A378" s="13" t="s">
        <v>318</v>
      </c>
      <c r="B378" s="69"/>
      <c r="E378" s="11"/>
      <c r="J378" s="214"/>
      <c r="K378" s="212"/>
      <c r="L378" s="717" t="s">
        <v>1144</v>
      </c>
      <c r="M378" s="717"/>
      <c r="N378" s="717"/>
      <c r="O378" s="717"/>
      <c r="P378" s="717"/>
      <c r="Q378" s="717"/>
      <c r="R378" s="717"/>
      <c r="S378" s="717"/>
      <c r="T378" s="717"/>
      <c r="U378" s="717"/>
      <c r="V378" s="717"/>
      <c r="W378" s="717"/>
      <c r="X378" s="717"/>
      <c r="Y378" s="717"/>
      <c r="Z378" s="717"/>
      <c r="AA378" s="717"/>
      <c r="AB378" s="717"/>
      <c r="AC378" s="717"/>
      <c r="AD378" s="717"/>
      <c r="AE378" s="717"/>
      <c r="AF378" s="717"/>
      <c r="AG378" s="717"/>
      <c r="AH378" s="717"/>
      <c r="AI378" s="717"/>
      <c r="AJ378" s="717"/>
      <c r="AK378" s="717"/>
      <c r="AL378" s="717"/>
      <c r="AM378" s="717"/>
      <c r="AN378" s="717"/>
      <c r="AO378" s="717"/>
      <c r="AP378" s="717"/>
      <c r="AQ378" s="717"/>
      <c r="AR378" s="717"/>
    </row>
    <row r="379" spans="1:49" ht="4.5" customHeight="1" x14ac:dyDescent="0.3">
      <c r="E379" s="11"/>
      <c r="J379" s="214"/>
      <c r="K379" s="216"/>
      <c r="L379" s="216"/>
      <c r="M379" s="216"/>
      <c r="N379" s="216"/>
      <c r="O379" s="216"/>
      <c r="P379" s="216"/>
      <c r="Q379" s="216"/>
      <c r="R379" s="216"/>
      <c r="S379" s="216"/>
      <c r="T379" s="216"/>
      <c r="U379" s="216"/>
      <c r="V379" s="216"/>
      <c r="W379" s="216"/>
      <c r="X379" s="216"/>
      <c r="Y379" s="216"/>
      <c r="Z379" s="216"/>
      <c r="AA379" s="216"/>
      <c r="AB379" s="216"/>
      <c r="AC379" s="216"/>
      <c r="AD379" s="216"/>
      <c r="AE379" s="216"/>
      <c r="AF379" s="216"/>
      <c r="AG379" s="216"/>
      <c r="AH379" s="216"/>
      <c r="AI379" s="216"/>
      <c r="AJ379" s="216"/>
      <c r="AK379" s="216"/>
      <c r="AL379" s="216"/>
      <c r="AM379" s="216"/>
      <c r="AN379" s="216"/>
      <c r="AO379" s="216"/>
      <c r="AP379" s="216"/>
      <c r="AQ379" s="216"/>
      <c r="AR379" s="216"/>
    </row>
    <row r="380" spans="1:49" x14ac:dyDescent="0.3">
      <c r="E380" s="11"/>
      <c r="F380" s="13" t="s">
        <v>700</v>
      </c>
      <c r="J380" s="706" t="str">
        <f>IF(calculations!M21,"describe corrective action proposed to correct any Red Flag or Yellow Flag ranking",IF(calculations!N21,"describe corrective action proposed to correct any Red Flag or Yellow Flag ranking","we changed the criteria"))</f>
        <v>we changed the criteria</v>
      </c>
      <c r="K380" s="707"/>
      <c r="L380" s="707"/>
      <c r="M380" s="707"/>
      <c r="N380" s="707"/>
      <c r="O380" s="707"/>
      <c r="P380" s="707"/>
      <c r="Q380" s="707"/>
      <c r="R380" s="707"/>
      <c r="S380" s="707"/>
      <c r="T380" s="707"/>
      <c r="U380" s="707"/>
      <c r="V380" s="707"/>
      <c r="W380" s="707"/>
      <c r="X380" s="707"/>
      <c r="Y380" s="707"/>
      <c r="Z380" s="707"/>
      <c r="AA380" s="707"/>
      <c r="AB380" s="707"/>
      <c r="AC380" s="707"/>
      <c r="AD380" s="707"/>
      <c r="AE380" s="707"/>
      <c r="AF380" s="707"/>
      <c r="AG380" s="707"/>
      <c r="AH380" s="707"/>
      <c r="AI380" s="707"/>
      <c r="AJ380" s="707"/>
      <c r="AK380" s="707"/>
      <c r="AL380" s="707"/>
      <c r="AM380" s="707"/>
      <c r="AN380" s="707"/>
      <c r="AO380" s="707"/>
      <c r="AP380" s="707"/>
      <c r="AQ380" s="707"/>
      <c r="AR380" s="708"/>
    </row>
    <row r="381" spans="1:49" ht="4.5" customHeight="1" x14ac:dyDescent="0.3">
      <c r="E381" s="11"/>
      <c r="F381" s="13"/>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row>
    <row r="382" spans="1:49" ht="49.5" customHeight="1" x14ac:dyDescent="0.3">
      <c r="E382" s="11"/>
      <c r="F382" s="55" t="str">
        <f>IF(J382&gt;"","REC",IF(calculations!M21,"REC",IF(calculations!N21,"REC","")))</f>
        <v/>
      </c>
      <c r="G382" s="38"/>
      <c r="J382" s="724" t="str">
        <f>IF(calculations!M21=TRUE,Rec!E36,IF(calculations!N21=TRUE,Rec!E37,""))</f>
        <v/>
      </c>
      <c r="K382" s="725"/>
      <c r="L382" s="725"/>
      <c r="M382" s="725"/>
      <c r="N382" s="725"/>
      <c r="O382" s="725"/>
      <c r="P382" s="725"/>
      <c r="Q382" s="725"/>
      <c r="R382" s="725"/>
      <c r="S382" s="725"/>
      <c r="T382" s="725"/>
      <c r="U382" s="725"/>
      <c r="V382" s="725"/>
      <c r="W382" s="725"/>
      <c r="X382" s="725"/>
      <c r="Y382" s="725"/>
      <c r="Z382" s="725"/>
      <c r="AA382" s="725"/>
      <c r="AB382" s="725"/>
      <c r="AC382" s="725"/>
      <c r="AD382" s="725"/>
      <c r="AE382" s="725"/>
      <c r="AF382" s="725"/>
      <c r="AG382" s="725"/>
      <c r="AH382" s="725"/>
      <c r="AI382" s="725"/>
      <c r="AJ382" s="725"/>
      <c r="AK382" s="725"/>
      <c r="AL382" s="725"/>
      <c r="AM382" s="725"/>
      <c r="AN382" s="725"/>
      <c r="AO382" s="725"/>
      <c r="AP382" s="725"/>
      <c r="AQ382" s="725"/>
      <c r="AR382" s="726"/>
    </row>
    <row r="383" spans="1:49" ht="13.5" customHeight="1" x14ac:dyDescent="0.3">
      <c r="E383" s="11"/>
      <c r="F383" s="37"/>
    </row>
    <row r="384" spans="1:49" ht="14.15" x14ac:dyDescent="0.35">
      <c r="A384" s="735">
        <v>2.8</v>
      </c>
      <c r="B384" s="735"/>
      <c r="D384" s="30" t="s">
        <v>178</v>
      </c>
      <c r="E384" s="11"/>
    </row>
    <row r="385" spans="1:44" ht="4.5" customHeight="1" x14ac:dyDescent="0.3">
      <c r="A385" s="13"/>
      <c r="B385" s="69"/>
      <c r="E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row>
    <row r="386" spans="1:44" ht="26.25" customHeight="1" x14ac:dyDescent="0.3">
      <c r="A386" s="13" t="s">
        <v>319</v>
      </c>
      <c r="B386" s="69"/>
      <c r="C386" s="31"/>
      <c r="D386" s="31"/>
      <c r="E386" s="32"/>
      <c r="F386" s="33"/>
      <c r="G386" s="31"/>
      <c r="H386" s="31"/>
      <c r="I386" s="31"/>
      <c r="J386" s="215"/>
      <c r="K386" s="212"/>
      <c r="L386" s="731" t="s">
        <v>1118</v>
      </c>
      <c r="M386" s="731"/>
      <c r="N386" s="731"/>
      <c r="O386" s="731"/>
      <c r="P386" s="731"/>
      <c r="Q386" s="731"/>
      <c r="R386" s="731"/>
      <c r="S386" s="731"/>
      <c r="T386" s="731"/>
      <c r="U386" s="731"/>
      <c r="V386" s="731"/>
      <c r="W386" s="731"/>
      <c r="X386" s="731"/>
      <c r="Y386" s="731"/>
      <c r="Z386" s="731"/>
      <c r="AA386" s="731"/>
      <c r="AB386" s="731"/>
      <c r="AC386" s="731"/>
      <c r="AD386" s="731"/>
      <c r="AE386" s="731"/>
      <c r="AF386" s="731"/>
      <c r="AG386" s="731"/>
      <c r="AH386" s="731"/>
      <c r="AI386" s="731"/>
      <c r="AJ386" s="731"/>
      <c r="AK386" s="731"/>
      <c r="AL386" s="731"/>
      <c r="AM386" s="731"/>
      <c r="AN386" s="731"/>
      <c r="AO386" s="731"/>
      <c r="AP386" s="731"/>
      <c r="AQ386" s="731"/>
      <c r="AR386" s="731"/>
    </row>
    <row r="387" spans="1:44" ht="4.5" customHeight="1" x14ac:dyDescent="0.3">
      <c r="A387" s="13"/>
      <c r="B387" s="69"/>
      <c r="C387" s="31"/>
      <c r="D387" s="31"/>
      <c r="E387" s="34"/>
      <c r="F387" s="31"/>
      <c r="G387" s="31"/>
      <c r="H387" s="31"/>
      <c r="I387" s="31"/>
      <c r="J387" s="215"/>
      <c r="K387" s="212"/>
      <c r="L387" s="212"/>
      <c r="M387" s="212"/>
      <c r="N387" s="212"/>
      <c r="O387" s="212"/>
      <c r="P387" s="212"/>
      <c r="Q387" s="212"/>
      <c r="R387" s="212"/>
      <c r="S387" s="212"/>
      <c r="T387" s="212"/>
      <c r="U387" s="212"/>
      <c r="V387" s="212"/>
      <c r="W387" s="212"/>
      <c r="X387" s="212"/>
      <c r="Y387" s="212"/>
      <c r="Z387" s="212"/>
      <c r="AA387" s="212"/>
      <c r="AB387" s="212"/>
      <c r="AC387" s="212"/>
      <c r="AD387" s="212"/>
      <c r="AE387" s="212"/>
      <c r="AF387" s="212"/>
      <c r="AG387" s="212"/>
      <c r="AH387" s="212"/>
      <c r="AI387" s="212"/>
      <c r="AJ387" s="212"/>
      <c r="AK387" s="212"/>
      <c r="AL387" s="212"/>
      <c r="AM387" s="212"/>
      <c r="AN387" s="212"/>
      <c r="AO387" s="212"/>
      <c r="AP387" s="212"/>
      <c r="AQ387" s="212"/>
      <c r="AR387" s="212"/>
    </row>
    <row r="388" spans="1:44" ht="26.25" customHeight="1" x14ac:dyDescent="0.3">
      <c r="A388" s="13" t="s">
        <v>320</v>
      </c>
      <c r="B388" s="69"/>
      <c r="C388" s="31"/>
      <c r="D388" s="31"/>
      <c r="E388" s="32"/>
      <c r="F388" s="33"/>
      <c r="G388" s="31"/>
      <c r="H388" s="31"/>
      <c r="I388" s="31"/>
      <c r="J388" s="215"/>
      <c r="K388" s="212"/>
      <c r="L388" s="717" t="s">
        <v>1973</v>
      </c>
      <c r="M388" s="717"/>
      <c r="N388" s="717"/>
      <c r="O388" s="717"/>
      <c r="P388" s="717"/>
      <c r="Q388" s="717"/>
      <c r="R388" s="717"/>
      <c r="S388" s="717"/>
      <c r="T388" s="717"/>
      <c r="U388" s="717"/>
      <c r="V388" s="717"/>
      <c r="W388" s="717"/>
      <c r="X388" s="717"/>
      <c r="Y388" s="717"/>
      <c r="Z388" s="717"/>
      <c r="AA388" s="717"/>
      <c r="AB388" s="717"/>
      <c r="AC388" s="717"/>
      <c r="AD388" s="717"/>
      <c r="AE388" s="717"/>
      <c r="AF388" s="717"/>
      <c r="AG388" s="717"/>
      <c r="AH388" s="717"/>
      <c r="AI388" s="717"/>
      <c r="AJ388" s="717"/>
      <c r="AK388" s="717"/>
      <c r="AL388" s="717"/>
      <c r="AM388" s="717"/>
      <c r="AN388" s="717"/>
      <c r="AO388" s="717"/>
      <c r="AP388" s="717"/>
      <c r="AQ388" s="717"/>
      <c r="AR388" s="717"/>
    </row>
    <row r="389" spans="1:44" hidden="1" x14ac:dyDescent="0.3">
      <c r="A389" s="13"/>
      <c r="B389" s="69"/>
      <c r="C389" s="31"/>
      <c r="D389" s="31"/>
      <c r="E389" s="32"/>
      <c r="F389" s="33"/>
      <c r="G389" s="31"/>
      <c r="H389" s="31"/>
      <c r="I389" s="31"/>
      <c r="J389" s="215"/>
      <c r="K389" s="212"/>
      <c r="L389" s="717"/>
      <c r="M389" s="717"/>
      <c r="N389" s="717"/>
      <c r="O389" s="717"/>
      <c r="P389" s="717"/>
      <c r="Q389" s="717"/>
      <c r="R389" s="717"/>
      <c r="S389" s="717"/>
      <c r="T389" s="717"/>
      <c r="U389" s="717"/>
      <c r="V389" s="717"/>
      <c r="W389" s="717"/>
      <c r="X389" s="717"/>
      <c r="Y389" s="717"/>
      <c r="Z389" s="717"/>
      <c r="AA389" s="717"/>
      <c r="AB389" s="717"/>
      <c r="AC389" s="717"/>
      <c r="AD389" s="717"/>
      <c r="AE389" s="717"/>
      <c r="AF389" s="717"/>
      <c r="AG389" s="717"/>
      <c r="AH389" s="717"/>
      <c r="AI389" s="717"/>
      <c r="AJ389" s="717"/>
      <c r="AK389" s="717"/>
      <c r="AL389" s="717"/>
      <c r="AM389" s="717"/>
      <c r="AN389" s="717"/>
      <c r="AO389" s="717"/>
      <c r="AP389" s="717"/>
      <c r="AQ389" s="717"/>
      <c r="AR389" s="717"/>
    </row>
    <row r="390" spans="1:44" ht="4.5" customHeight="1" x14ac:dyDescent="0.3">
      <c r="A390" s="13"/>
      <c r="B390" s="69"/>
      <c r="C390" s="31"/>
      <c r="D390" s="31"/>
      <c r="E390" s="34"/>
      <c r="F390" s="31"/>
      <c r="G390" s="31"/>
      <c r="H390" s="31"/>
      <c r="I390" s="31"/>
      <c r="J390" s="215"/>
      <c r="K390" s="212"/>
      <c r="L390" s="212"/>
      <c r="M390" s="212"/>
      <c r="N390" s="212"/>
      <c r="O390" s="212"/>
      <c r="P390" s="212"/>
      <c r="Q390" s="212"/>
      <c r="R390" s="212"/>
      <c r="S390" s="212"/>
      <c r="T390" s="212"/>
      <c r="U390" s="212"/>
      <c r="V390" s="212"/>
      <c r="W390" s="212"/>
      <c r="X390" s="212"/>
      <c r="Y390" s="212"/>
      <c r="Z390" s="212"/>
      <c r="AA390" s="212"/>
      <c r="AB390" s="212"/>
      <c r="AC390" s="212"/>
      <c r="AD390" s="212"/>
      <c r="AE390" s="212"/>
      <c r="AF390" s="212"/>
      <c r="AG390" s="212"/>
      <c r="AH390" s="212"/>
      <c r="AI390" s="212"/>
      <c r="AJ390" s="212"/>
      <c r="AK390" s="212"/>
      <c r="AL390" s="212"/>
      <c r="AM390" s="212"/>
      <c r="AN390" s="212"/>
      <c r="AO390" s="212"/>
      <c r="AP390" s="212"/>
      <c r="AQ390" s="212"/>
      <c r="AR390" s="212"/>
    </row>
    <row r="391" spans="1:44" ht="26.25" customHeight="1" x14ac:dyDescent="0.3">
      <c r="A391" s="13" t="s">
        <v>321</v>
      </c>
      <c r="B391" s="69"/>
      <c r="C391" s="31"/>
      <c r="D391" s="31"/>
      <c r="E391" s="34"/>
      <c r="F391" s="31"/>
      <c r="G391" s="31"/>
      <c r="H391" s="31"/>
      <c r="I391" s="31"/>
      <c r="J391" s="215"/>
      <c r="K391" s="212"/>
      <c r="L391" s="717" t="s">
        <v>1145</v>
      </c>
      <c r="M391" s="717"/>
      <c r="N391" s="717"/>
      <c r="O391" s="717"/>
      <c r="P391" s="717"/>
      <c r="Q391" s="717"/>
      <c r="R391" s="717"/>
      <c r="S391" s="717"/>
      <c r="T391" s="717"/>
      <c r="U391" s="717"/>
      <c r="V391" s="717"/>
      <c r="W391" s="717"/>
      <c r="X391" s="717"/>
      <c r="Y391" s="717"/>
      <c r="Z391" s="717"/>
      <c r="AA391" s="717"/>
      <c r="AB391" s="717"/>
      <c r="AC391" s="717"/>
      <c r="AD391" s="717"/>
      <c r="AE391" s="717"/>
      <c r="AF391" s="717"/>
      <c r="AG391" s="717"/>
      <c r="AH391" s="717"/>
      <c r="AI391" s="717"/>
      <c r="AJ391" s="717"/>
      <c r="AK391" s="717"/>
      <c r="AL391" s="717"/>
      <c r="AM391" s="717"/>
      <c r="AN391" s="717"/>
      <c r="AO391" s="717"/>
      <c r="AP391" s="717"/>
      <c r="AQ391" s="717"/>
      <c r="AR391" s="717"/>
    </row>
    <row r="392" spans="1:44" ht="4.5" customHeight="1" x14ac:dyDescent="0.3">
      <c r="A392" s="13"/>
      <c r="B392" s="69"/>
      <c r="C392" s="31"/>
      <c r="D392" s="31"/>
      <c r="E392" s="32"/>
      <c r="F392" s="33"/>
      <c r="G392" s="31"/>
      <c r="H392" s="31"/>
      <c r="I392" s="31"/>
      <c r="J392" s="215"/>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c r="AL392" s="212"/>
      <c r="AM392" s="212"/>
      <c r="AN392" s="212"/>
      <c r="AO392" s="212"/>
      <c r="AP392" s="212"/>
      <c r="AQ392" s="212"/>
      <c r="AR392" s="212"/>
    </row>
    <row r="393" spans="1:44" ht="12.75" customHeight="1" x14ac:dyDescent="0.3">
      <c r="A393" s="13" t="s">
        <v>322</v>
      </c>
      <c r="B393" s="69"/>
      <c r="E393" s="35"/>
      <c r="J393" s="214"/>
      <c r="K393" s="212"/>
      <c r="L393" s="717" t="s">
        <v>1146</v>
      </c>
      <c r="M393" s="717"/>
      <c r="N393" s="717"/>
      <c r="O393" s="717"/>
      <c r="P393" s="717"/>
      <c r="Q393" s="717"/>
      <c r="R393" s="717"/>
      <c r="S393" s="717"/>
      <c r="T393" s="717"/>
      <c r="U393" s="717"/>
      <c r="V393" s="717"/>
      <c r="W393" s="717"/>
      <c r="X393" s="717"/>
      <c r="Y393" s="717"/>
      <c r="Z393" s="717"/>
      <c r="AA393" s="717"/>
      <c r="AB393" s="717"/>
      <c r="AC393" s="717"/>
      <c r="AD393" s="717"/>
      <c r="AE393" s="717"/>
      <c r="AF393" s="717"/>
      <c r="AG393" s="717"/>
      <c r="AH393" s="717"/>
      <c r="AI393" s="717"/>
      <c r="AJ393" s="717"/>
      <c r="AK393" s="717"/>
      <c r="AL393" s="717"/>
      <c r="AM393" s="717"/>
      <c r="AN393" s="717"/>
      <c r="AO393" s="717"/>
      <c r="AP393" s="717"/>
      <c r="AQ393" s="717"/>
      <c r="AR393" s="717"/>
    </row>
    <row r="394" spans="1:44" ht="4.5" customHeight="1" x14ac:dyDescent="0.3">
      <c r="A394" s="13"/>
      <c r="B394" s="69"/>
      <c r="E394" s="11"/>
      <c r="F394" s="3"/>
      <c r="J394" s="214"/>
      <c r="K394" s="212"/>
      <c r="L394" s="212"/>
      <c r="M394" s="212"/>
      <c r="N394" s="212"/>
      <c r="O394" s="212"/>
      <c r="P394" s="212"/>
      <c r="Q394" s="212"/>
      <c r="R394" s="212"/>
      <c r="S394" s="212"/>
      <c r="T394" s="212"/>
      <c r="U394" s="212"/>
      <c r="V394" s="212"/>
      <c r="W394" s="212"/>
      <c r="X394" s="212"/>
      <c r="Y394" s="212"/>
      <c r="Z394" s="212"/>
      <c r="AA394" s="212"/>
      <c r="AB394" s="212"/>
      <c r="AC394" s="212"/>
      <c r="AD394" s="212"/>
      <c r="AE394" s="212"/>
      <c r="AF394" s="212"/>
      <c r="AG394" s="212"/>
      <c r="AH394" s="212"/>
      <c r="AI394" s="212"/>
      <c r="AJ394" s="212"/>
      <c r="AK394" s="212"/>
      <c r="AL394" s="212"/>
      <c r="AM394" s="212"/>
      <c r="AN394" s="212"/>
      <c r="AO394" s="212"/>
      <c r="AP394" s="212"/>
      <c r="AQ394" s="212"/>
      <c r="AR394" s="212"/>
    </row>
    <row r="395" spans="1:44" ht="13.5" customHeight="1" x14ac:dyDescent="0.3">
      <c r="A395" s="13" t="s">
        <v>323</v>
      </c>
      <c r="B395" s="69"/>
      <c r="E395" s="11"/>
      <c r="J395" s="214"/>
      <c r="K395" s="212"/>
      <c r="L395" s="717" t="s">
        <v>1147</v>
      </c>
      <c r="M395" s="717"/>
      <c r="N395" s="717"/>
      <c r="O395" s="717"/>
      <c r="P395" s="717"/>
      <c r="Q395" s="717"/>
      <c r="R395" s="717"/>
      <c r="S395" s="717"/>
      <c r="T395" s="717"/>
      <c r="U395" s="717"/>
      <c r="V395" s="717"/>
      <c r="W395" s="717"/>
      <c r="X395" s="717"/>
      <c r="Y395" s="717"/>
      <c r="Z395" s="717"/>
      <c r="AA395" s="717"/>
      <c r="AB395" s="717"/>
      <c r="AC395" s="717"/>
      <c r="AD395" s="717"/>
      <c r="AE395" s="717"/>
      <c r="AF395" s="717"/>
      <c r="AG395" s="717"/>
      <c r="AH395" s="717"/>
      <c r="AI395" s="717"/>
      <c r="AJ395" s="717"/>
      <c r="AK395" s="717"/>
      <c r="AL395" s="717"/>
      <c r="AM395" s="717"/>
      <c r="AN395" s="717"/>
      <c r="AO395" s="717"/>
      <c r="AP395" s="717"/>
      <c r="AQ395" s="717"/>
      <c r="AR395" s="717"/>
    </row>
    <row r="396" spans="1:44" ht="4.5" customHeight="1" x14ac:dyDescent="0.3">
      <c r="A396" s="13"/>
      <c r="B396" s="69"/>
      <c r="C396" s="39"/>
      <c r="D396" s="39"/>
      <c r="E396" s="44"/>
      <c r="F396" s="39"/>
      <c r="G396" s="39"/>
      <c r="H396" s="39"/>
      <c r="I396" s="39"/>
      <c r="J396" s="218"/>
      <c r="K396" s="219"/>
      <c r="L396" s="212"/>
      <c r="M396" s="212"/>
      <c r="N396" s="212"/>
      <c r="O396" s="212"/>
      <c r="P396" s="212"/>
      <c r="Q396" s="212"/>
      <c r="R396" s="212"/>
      <c r="S396" s="212"/>
      <c r="T396" s="212"/>
      <c r="U396" s="212"/>
      <c r="V396" s="212"/>
      <c r="W396" s="212"/>
      <c r="X396" s="212"/>
      <c r="Y396" s="212"/>
      <c r="Z396" s="212"/>
      <c r="AA396" s="212"/>
      <c r="AB396" s="212"/>
      <c r="AC396" s="212"/>
      <c r="AD396" s="212"/>
      <c r="AE396" s="212"/>
      <c r="AF396" s="212"/>
      <c r="AG396" s="212"/>
      <c r="AH396" s="212"/>
      <c r="AI396" s="212"/>
      <c r="AJ396" s="212"/>
      <c r="AK396" s="212"/>
      <c r="AL396" s="212"/>
      <c r="AM396" s="212"/>
      <c r="AN396" s="212"/>
      <c r="AO396" s="212"/>
      <c r="AP396" s="212"/>
      <c r="AQ396" s="212"/>
      <c r="AR396" s="212"/>
    </row>
    <row r="397" spans="1:44" ht="13.5" customHeight="1" x14ac:dyDescent="0.3">
      <c r="A397" s="13" t="s">
        <v>324</v>
      </c>
      <c r="B397" s="69"/>
      <c r="C397" s="31"/>
      <c r="D397" s="31"/>
      <c r="E397" s="32"/>
      <c r="F397" s="33"/>
      <c r="G397" s="31"/>
      <c r="H397" s="31"/>
      <c r="I397" s="31"/>
      <c r="J397" s="215"/>
      <c r="K397" s="212"/>
      <c r="L397" s="717" t="s">
        <v>1148</v>
      </c>
      <c r="M397" s="717"/>
      <c r="N397" s="717"/>
      <c r="O397" s="717"/>
      <c r="P397" s="717"/>
      <c r="Q397" s="717"/>
      <c r="R397" s="717"/>
      <c r="S397" s="717"/>
      <c r="T397" s="717"/>
      <c r="U397" s="717"/>
      <c r="V397" s="717"/>
      <c r="W397" s="717"/>
      <c r="X397" s="717"/>
      <c r="Y397" s="717"/>
      <c r="Z397" s="717"/>
      <c r="AA397" s="717"/>
      <c r="AB397" s="717"/>
      <c r="AC397" s="717"/>
      <c r="AD397" s="717"/>
      <c r="AE397" s="717"/>
      <c r="AF397" s="717"/>
      <c r="AG397" s="717"/>
      <c r="AH397" s="717"/>
      <c r="AI397" s="717"/>
      <c r="AJ397" s="717"/>
      <c r="AK397" s="717"/>
      <c r="AL397" s="717"/>
      <c r="AM397" s="717"/>
      <c r="AN397" s="717"/>
      <c r="AO397" s="717"/>
      <c r="AP397" s="717"/>
      <c r="AQ397" s="717"/>
      <c r="AR397" s="717"/>
    </row>
    <row r="398" spans="1:44" ht="4.5" customHeight="1" x14ac:dyDescent="0.3">
      <c r="E398" s="11"/>
      <c r="J398" s="214"/>
      <c r="K398" s="216"/>
      <c r="L398" s="216"/>
      <c r="M398" s="216"/>
      <c r="N398" s="216"/>
      <c r="O398" s="216"/>
      <c r="P398" s="216"/>
      <c r="Q398" s="216"/>
      <c r="R398" s="216"/>
      <c r="S398" s="216"/>
      <c r="T398" s="216"/>
      <c r="U398" s="216"/>
      <c r="V398" s="216"/>
      <c r="W398" s="216"/>
      <c r="X398" s="216"/>
      <c r="Y398" s="216"/>
      <c r="Z398" s="216"/>
      <c r="AA398" s="216"/>
      <c r="AB398" s="216"/>
      <c r="AC398" s="216"/>
      <c r="AD398" s="216"/>
      <c r="AE398" s="216"/>
      <c r="AF398" s="216"/>
      <c r="AG398" s="216"/>
      <c r="AH398" s="216"/>
      <c r="AI398" s="216"/>
      <c r="AJ398" s="216"/>
      <c r="AK398" s="216"/>
      <c r="AL398" s="216"/>
      <c r="AM398" s="216"/>
      <c r="AN398" s="216"/>
      <c r="AO398" s="216"/>
      <c r="AP398" s="216"/>
      <c r="AQ398" s="216"/>
      <c r="AR398" s="216"/>
    </row>
    <row r="399" spans="1:44" x14ac:dyDescent="0.3">
      <c r="E399" s="11"/>
      <c r="F399" s="13" t="s">
        <v>700</v>
      </c>
      <c r="J399" s="706" t="str">
        <f>IF(calculations!M22,"describe corrective action proposed to correct any Red Flag or Yellow Flag ranking",IF(calculations!N22,"describe corrective action proposed to correct any Red Flag or Yellow Flag ranking","we changed Platinum criteria"))</f>
        <v>we changed Platinum criteria</v>
      </c>
      <c r="K399" s="707"/>
      <c r="L399" s="707"/>
      <c r="M399" s="707"/>
      <c r="N399" s="707"/>
      <c r="O399" s="707"/>
      <c r="P399" s="707"/>
      <c r="Q399" s="707"/>
      <c r="R399" s="707"/>
      <c r="S399" s="707"/>
      <c r="T399" s="707"/>
      <c r="U399" s="707"/>
      <c r="V399" s="707"/>
      <c r="W399" s="707"/>
      <c r="X399" s="707"/>
      <c r="Y399" s="707"/>
      <c r="Z399" s="707"/>
      <c r="AA399" s="707"/>
      <c r="AB399" s="707"/>
      <c r="AC399" s="707"/>
      <c r="AD399" s="707"/>
      <c r="AE399" s="707"/>
      <c r="AF399" s="707"/>
      <c r="AG399" s="707"/>
      <c r="AH399" s="707"/>
      <c r="AI399" s="707"/>
      <c r="AJ399" s="707"/>
      <c r="AK399" s="707"/>
      <c r="AL399" s="707"/>
      <c r="AM399" s="707"/>
      <c r="AN399" s="707"/>
      <c r="AO399" s="707"/>
      <c r="AP399" s="707"/>
      <c r="AQ399" s="707"/>
      <c r="AR399" s="708"/>
    </row>
    <row r="400" spans="1:44" ht="4.5" customHeight="1" x14ac:dyDescent="0.3">
      <c r="E400" s="11"/>
      <c r="F400" s="13"/>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row>
    <row r="401" spans="1:44" ht="27.75" customHeight="1" x14ac:dyDescent="0.3">
      <c r="E401" s="11"/>
      <c r="F401" s="55" t="str">
        <f>IF(J401&gt;"","REC",IF(calculations!M22,"REC",IF(calculations!N22,"REC","")))</f>
        <v/>
      </c>
      <c r="G401" s="38"/>
      <c r="J401" s="724" t="str">
        <f>IF(calculations!M22=TRUE,Rec!E38,IF(calculations!N22=TRUE,Rec!E39,""))</f>
        <v/>
      </c>
      <c r="K401" s="725"/>
      <c r="L401" s="725"/>
      <c r="M401" s="725"/>
      <c r="N401" s="725"/>
      <c r="O401" s="725"/>
      <c r="P401" s="725"/>
      <c r="Q401" s="725"/>
      <c r="R401" s="725"/>
      <c r="S401" s="725"/>
      <c r="T401" s="725"/>
      <c r="U401" s="725"/>
      <c r="V401" s="725"/>
      <c r="W401" s="725"/>
      <c r="X401" s="725"/>
      <c r="Y401" s="725"/>
      <c r="Z401" s="725"/>
      <c r="AA401" s="725"/>
      <c r="AB401" s="725"/>
      <c r="AC401" s="725"/>
      <c r="AD401" s="725"/>
      <c r="AE401" s="725"/>
      <c r="AF401" s="725"/>
      <c r="AG401" s="725"/>
      <c r="AH401" s="725"/>
      <c r="AI401" s="725"/>
      <c r="AJ401" s="725"/>
      <c r="AK401" s="725"/>
      <c r="AL401" s="725"/>
      <c r="AM401" s="725"/>
      <c r="AN401" s="725"/>
      <c r="AO401" s="725"/>
      <c r="AP401" s="725"/>
      <c r="AQ401" s="725"/>
      <c r="AR401" s="726"/>
    </row>
    <row r="402" spans="1:44" ht="13.5" customHeight="1" x14ac:dyDescent="0.3">
      <c r="E402" s="11"/>
      <c r="F402" s="37"/>
    </row>
    <row r="403" spans="1:44" ht="14.15" x14ac:dyDescent="0.35">
      <c r="A403" s="735">
        <v>2.9</v>
      </c>
      <c r="B403" s="735"/>
      <c r="D403" s="30" t="s">
        <v>177</v>
      </c>
      <c r="E403" s="11"/>
    </row>
    <row r="404" spans="1:44" ht="4.5" customHeight="1" x14ac:dyDescent="0.3">
      <c r="A404" s="13"/>
      <c r="B404" s="69"/>
      <c r="E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row>
    <row r="405" spans="1:44" ht="25.5" customHeight="1" x14ac:dyDescent="0.3">
      <c r="A405" s="13" t="s">
        <v>325</v>
      </c>
      <c r="B405" s="69"/>
      <c r="C405" s="31"/>
      <c r="D405" s="31"/>
      <c r="E405" s="32"/>
      <c r="F405" s="33"/>
      <c r="G405" s="31"/>
      <c r="H405" s="31"/>
      <c r="I405" s="31"/>
      <c r="J405" s="215"/>
      <c r="K405" s="212"/>
      <c r="L405" s="731" t="s">
        <v>1118</v>
      </c>
      <c r="M405" s="731"/>
      <c r="N405" s="731"/>
      <c r="O405" s="731"/>
      <c r="P405" s="731"/>
      <c r="Q405" s="731"/>
      <c r="R405" s="731"/>
      <c r="S405" s="731"/>
      <c r="T405" s="731"/>
      <c r="U405" s="731"/>
      <c r="V405" s="731"/>
      <c r="W405" s="731"/>
      <c r="X405" s="731"/>
      <c r="Y405" s="731"/>
      <c r="Z405" s="731"/>
      <c r="AA405" s="731"/>
      <c r="AB405" s="731"/>
      <c r="AC405" s="731"/>
      <c r="AD405" s="731"/>
      <c r="AE405" s="731"/>
      <c r="AF405" s="731"/>
      <c r="AG405" s="731"/>
      <c r="AH405" s="731"/>
      <c r="AI405" s="731"/>
      <c r="AJ405" s="731"/>
      <c r="AK405" s="731"/>
      <c r="AL405" s="731"/>
      <c r="AM405" s="731"/>
      <c r="AN405" s="731"/>
      <c r="AO405" s="731"/>
      <c r="AP405" s="731"/>
      <c r="AQ405" s="731"/>
      <c r="AR405" s="731"/>
    </row>
    <row r="406" spans="1:44" ht="4.5" customHeight="1" x14ac:dyDescent="0.3">
      <c r="A406" s="13"/>
      <c r="B406" s="69"/>
      <c r="C406" s="31"/>
      <c r="D406" s="31"/>
      <c r="E406" s="34"/>
      <c r="F406" s="31"/>
      <c r="G406" s="31"/>
      <c r="H406" s="31"/>
      <c r="I406" s="31"/>
      <c r="J406" s="215"/>
      <c r="K406" s="212"/>
      <c r="L406" s="212"/>
      <c r="M406" s="212"/>
      <c r="N406" s="212"/>
      <c r="O406" s="212"/>
      <c r="P406" s="212"/>
      <c r="Q406" s="212"/>
      <c r="R406" s="212"/>
      <c r="S406" s="212"/>
      <c r="T406" s="212"/>
      <c r="U406" s="212"/>
      <c r="V406" s="212"/>
      <c r="W406" s="212"/>
      <c r="X406" s="212"/>
      <c r="Y406" s="212"/>
      <c r="Z406" s="212"/>
      <c r="AA406" s="212"/>
      <c r="AB406" s="212"/>
      <c r="AC406" s="212"/>
      <c r="AD406" s="212"/>
      <c r="AE406" s="212"/>
      <c r="AF406" s="212"/>
      <c r="AG406" s="212"/>
      <c r="AH406" s="212"/>
      <c r="AI406" s="212"/>
      <c r="AJ406" s="212"/>
      <c r="AK406" s="212"/>
      <c r="AL406" s="212"/>
      <c r="AM406" s="212"/>
      <c r="AN406" s="212"/>
      <c r="AO406" s="212"/>
      <c r="AP406" s="212"/>
      <c r="AQ406" s="212"/>
      <c r="AR406" s="212"/>
    </row>
    <row r="407" spans="1:44" ht="66.75" customHeight="1" x14ac:dyDescent="0.3">
      <c r="A407" s="13" t="s">
        <v>326</v>
      </c>
      <c r="B407" s="69"/>
      <c r="C407" s="31"/>
      <c r="D407" s="31"/>
      <c r="E407" s="32"/>
      <c r="F407" s="33"/>
      <c r="G407" s="31"/>
      <c r="H407" s="31"/>
      <c r="I407" s="31"/>
      <c r="J407" s="215"/>
      <c r="K407" s="212"/>
      <c r="L407" s="717" t="s">
        <v>1974</v>
      </c>
      <c r="M407" s="717"/>
      <c r="N407" s="717"/>
      <c r="O407" s="717"/>
      <c r="P407" s="717"/>
      <c r="Q407" s="717"/>
      <c r="R407" s="717"/>
      <c r="S407" s="717"/>
      <c r="T407" s="717"/>
      <c r="U407" s="717"/>
      <c r="V407" s="717"/>
      <c r="W407" s="717"/>
      <c r="X407" s="717"/>
      <c r="Y407" s="717"/>
      <c r="Z407" s="717"/>
      <c r="AA407" s="717"/>
      <c r="AB407" s="717"/>
      <c r="AC407" s="717"/>
      <c r="AD407" s="717"/>
      <c r="AE407" s="717"/>
      <c r="AF407" s="717"/>
      <c r="AG407" s="717"/>
      <c r="AH407" s="717"/>
      <c r="AI407" s="717"/>
      <c r="AJ407" s="717"/>
      <c r="AK407" s="717"/>
      <c r="AL407" s="717"/>
      <c r="AM407" s="717"/>
      <c r="AN407" s="717"/>
      <c r="AO407" s="717"/>
      <c r="AP407" s="717"/>
      <c r="AQ407" s="717"/>
      <c r="AR407" s="717"/>
    </row>
    <row r="408" spans="1:44" ht="4.5" customHeight="1" x14ac:dyDescent="0.3">
      <c r="A408" s="13"/>
      <c r="B408" s="69"/>
      <c r="C408" s="31"/>
      <c r="D408" s="31"/>
      <c r="E408" s="32"/>
      <c r="F408" s="33"/>
      <c r="G408" s="31"/>
      <c r="H408" s="31"/>
      <c r="I408" s="31"/>
      <c r="J408" s="215"/>
      <c r="K408" s="212"/>
      <c r="L408" s="212"/>
      <c r="M408" s="212"/>
      <c r="N408" s="212"/>
      <c r="O408" s="212"/>
      <c r="P408" s="212"/>
      <c r="Q408" s="212"/>
      <c r="R408" s="212"/>
      <c r="S408" s="212"/>
      <c r="T408" s="212"/>
      <c r="U408" s="212"/>
      <c r="V408" s="212"/>
      <c r="W408" s="212"/>
      <c r="X408" s="212"/>
      <c r="Y408" s="212"/>
      <c r="Z408" s="212"/>
      <c r="AA408" s="212"/>
      <c r="AB408" s="212"/>
      <c r="AC408" s="212"/>
      <c r="AD408" s="212"/>
      <c r="AE408" s="212"/>
      <c r="AF408" s="212"/>
      <c r="AG408" s="212"/>
      <c r="AH408" s="212"/>
      <c r="AI408" s="212"/>
      <c r="AJ408" s="212"/>
      <c r="AK408" s="212"/>
      <c r="AL408" s="212"/>
      <c r="AM408" s="212"/>
      <c r="AN408" s="212"/>
      <c r="AO408" s="212"/>
      <c r="AP408" s="212"/>
      <c r="AQ408" s="212"/>
      <c r="AR408" s="212"/>
    </row>
    <row r="409" spans="1:44" ht="98.25" customHeight="1" x14ac:dyDescent="0.3">
      <c r="A409" s="13" t="s">
        <v>327</v>
      </c>
      <c r="B409" s="69"/>
      <c r="C409" s="31"/>
      <c r="D409" s="31"/>
      <c r="E409" s="34"/>
      <c r="F409" s="31"/>
      <c r="G409" s="31"/>
      <c r="H409" s="31"/>
      <c r="I409" s="31"/>
      <c r="J409" s="215"/>
      <c r="K409" s="212"/>
      <c r="L409" s="717" t="s">
        <v>1149</v>
      </c>
      <c r="M409" s="717"/>
      <c r="N409" s="717"/>
      <c r="O409" s="717"/>
      <c r="P409" s="717"/>
      <c r="Q409" s="717"/>
      <c r="R409" s="717"/>
      <c r="S409" s="717"/>
      <c r="T409" s="717"/>
      <c r="U409" s="717"/>
      <c r="V409" s="717"/>
      <c r="W409" s="717"/>
      <c r="X409" s="717"/>
      <c r="Y409" s="717"/>
      <c r="Z409" s="717"/>
      <c r="AA409" s="717"/>
      <c r="AB409" s="717"/>
      <c r="AC409" s="717"/>
      <c r="AD409" s="717"/>
      <c r="AE409" s="717"/>
      <c r="AF409" s="717"/>
      <c r="AG409" s="717"/>
      <c r="AH409" s="717"/>
      <c r="AI409" s="717"/>
      <c r="AJ409" s="717"/>
      <c r="AK409" s="717"/>
      <c r="AL409" s="717"/>
      <c r="AM409" s="717"/>
      <c r="AN409" s="717"/>
      <c r="AO409" s="717"/>
      <c r="AP409" s="717"/>
      <c r="AQ409" s="717"/>
      <c r="AR409" s="717"/>
    </row>
    <row r="410" spans="1:44" ht="4.5" customHeight="1" x14ac:dyDescent="0.3">
      <c r="A410" s="13"/>
      <c r="B410" s="69"/>
      <c r="C410" s="31"/>
      <c r="D410" s="31"/>
      <c r="E410" s="34"/>
      <c r="F410" s="31"/>
      <c r="G410" s="31"/>
      <c r="H410" s="31"/>
      <c r="I410" s="31"/>
      <c r="J410" s="215"/>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c r="AL410" s="212"/>
      <c r="AM410" s="212"/>
      <c r="AN410" s="212"/>
      <c r="AO410" s="212"/>
      <c r="AP410" s="212"/>
      <c r="AQ410" s="212"/>
      <c r="AR410" s="212"/>
    </row>
    <row r="411" spans="1:44" ht="26.25" customHeight="1" x14ac:dyDescent="0.3">
      <c r="A411" s="13" t="s">
        <v>328</v>
      </c>
      <c r="B411" s="69"/>
      <c r="C411" s="31"/>
      <c r="D411" s="31"/>
      <c r="E411" s="32"/>
      <c r="F411" s="33"/>
      <c r="G411" s="31"/>
      <c r="H411" s="31"/>
      <c r="I411" s="31"/>
      <c r="J411" s="215"/>
      <c r="K411" s="212"/>
      <c r="L411" s="717" t="s">
        <v>1150</v>
      </c>
      <c r="M411" s="717"/>
      <c r="N411" s="717"/>
      <c r="O411" s="717"/>
      <c r="P411" s="717"/>
      <c r="Q411" s="717"/>
      <c r="R411" s="717"/>
      <c r="S411" s="717"/>
      <c r="T411" s="717"/>
      <c r="U411" s="717"/>
      <c r="V411" s="717"/>
      <c r="W411" s="717"/>
      <c r="X411" s="717"/>
      <c r="Y411" s="717"/>
      <c r="Z411" s="717"/>
      <c r="AA411" s="717"/>
      <c r="AB411" s="717"/>
      <c r="AC411" s="717"/>
      <c r="AD411" s="717"/>
      <c r="AE411" s="717"/>
      <c r="AF411" s="717"/>
      <c r="AG411" s="717"/>
      <c r="AH411" s="717"/>
      <c r="AI411" s="717"/>
      <c r="AJ411" s="717"/>
      <c r="AK411" s="717"/>
      <c r="AL411" s="717"/>
      <c r="AM411" s="717"/>
      <c r="AN411" s="717"/>
      <c r="AO411" s="717"/>
      <c r="AP411" s="717"/>
      <c r="AQ411" s="717"/>
      <c r="AR411" s="717"/>
    </row>
    <row r="412" spans="1:44" ht="4.5" customHeight="1" x14ac:dyDescent="0.3">
      <c r="A412" s="13"/>
      <c r="B412" s="69"/>
      <c r="E412" s="35"/>
      <c r="J412" s="214"/>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row>
    <row r="413" spans="1:44" ht="26.25" customHeight="1" x14ac:dyDescent="0.3">
      <c r="A413" s="13" t="s">
        <v>329</v>
      </c>
      <c r="B413" s="69"/>
      <c r="E413" s="11"/>
      <c r="F413" s="3"/>
      <c r="J413" s="214"/>
      <c r="K413" s="212"/>
      <c r="L413" s="717" t="s">
        <v>1908</v>
      </c>
      <c r="M413" s="717"/>
      <c r="N413" s="717"/>
      <c r="O413" s="717"/>
      <c r="P413" s="717"/>
      <c r="Q413" s="717"/>
      <c r="R413" s="717"/>
      <c r="S413" s="717"/>
      <c r="T413" s="717"/>
      <c r="U413" s="717"/>
      <c r="V413" s="717"/>
      <c r="W413" s="717"/>
      <c r="X413" s="717"/>
      <c r="Y413" s="717"/>
      <c r="Z413" s="717"/>
      <c r="AA413" s="717"/>
      <c r="AB413" s="717"/>
      <c r="AC413" s="717"/>
      <c r="AD413" s="717"/>
      <c r="AE413" s="717"/>
      <c r="AF413" s="717"/>
      <c r="AG413" s="717"/>
      <c r="AH413" s="717"/>
      <c r="AI413" s="717"/>
      <c r="AJ413" s="717"/>
      <c r="AK413" s="717"/>
      <c r="AL413" s="717"/>
      <c r="AM413" s="717"/>
      <c r="AN413" s="717"/>
      <c r="AO413" s="717"/>
      <c r="AP413" s="717"/>
      <c r="AQ413" s="717"/>
      <c r="AR413" s="717"/>
    </row>
    <row r="414" spans="1:44" ht="4.5" customHeight="1" x14ac:dyDescent="0.3">
      <c r="A414" s="13"/>
      <c r="B414" s="69"/>
      <c r="E414" s="11"/>
      <c r="J414" s="214"/>
      <c r="K414" s="212"/>
      <c r="L414" s="212"/>
      <c r="M414" s="212"/>
      <c r="N414" s="212"/>
      <c r="O414" s="212"/>
      <c r="P414" s="212"/>
      <c r="Q414" s="212"/>
      <c r="R414" s="212"/>
      <c r="S414" s="212"/>
      <c r="T414" s="212"/>
      <c r="U414" s="212"/>
      <c r="V414" s="212"/>
      <c r="W414" s="212"/>
      <c r="X414" s="212"/>
      <c r="Y414" s="212"/>
      <c r="Z414" s="212"/>
      <c r="AA414" s="212"/>
      <c r="AB414" s="212"/>
      <c r="AC414" s="212"/>
      <c r="AD414" s="212"/>
      <c r="AE414" s="212"/>
      <c r="AF414" s="212"/>
      <c r="AG414" s="212"/>
      <c r="AH414" s="212"/>
      <c r="AI414" s="212"/>
      <c r="AJ414" s="212"/>
      <c r="AK414" s="212"/>
      <c r="AL414" s="212"/>
      <c r="AM414" s="212"/>
      <c r="AN414" s="212"/>
      <c r="AO414" s="212"/>
      <c r="AP414" s="212"/>
      <c r="AQ414" s="212"/>
      <c r="AR414" s="212"/>
    </row>
    <row r="415" spans="1:44" ht="13.5" customHeight="1" x14ac:dyDescent="0.3">
      <c r="A415" s="13" t="s">
        <v>330</v>
      </c>
      <c r="B415" s="69"/>
      <c r="C415" s="39"/>
      <c r="D415" s="39"/>
      <c r="E415" s="44"/>
      <c r="F415" s="39"/>
      <c r="G415" s="39"/>
      <c r="H415" s="39"/>
      <c r="I415" s="39"/>
      <c r="J415" s="218"/>
      <c r="K415" s="219"/>
      <c r="L415" s="717" t="s">
        <v>1151</v>
      </c>
      <c r="M415" s="717"/>
      <c r="N415" s="717"/>
      <c r="O415" s="717"/>
      <c r="P415" s="717"/>
      <c r="Q415" s="717"/>
      <c r="R415" s="717"/>
      <c r="S415" s="717"/>
      <c r="T415" s="717"/>
      <c r="U415" s="717"/>
      <c r="V415" s="717"/>
      <c r="W415" s="717"/>
      <c r="X415" s="717"/>
      <c r="Y415" s="717"/>
      <c r="Z415" s="717"/>
      <c r="AA415" s="717"/>
      <c r="AB415" s="717"/>
      <c r="AC415" s="717"/>
      <c r="AD415" s="717"/>
      <c r="AE415" s="717"/>
      <c r="AF415" s="717"/>
      <c r="AG415" s="717"/>
      <c r="AH415" s="717"/>
      <c r="AI415" s="717"/>
      <c r="AJ415" s="717"/>
      <c r="AK415" s="717"/>
      <c r="AL415" s="717"/>
      <c r="AM415" s="717"/>
      <c r="AN415" s="717"/>
      <c r="AO415" s="717"/>
      <c r="AP415" s="717"/>
      <c r="AQ415" s="717"/>
      <c r="AR415" s="717"/>
    </row>
    <row r="416" spans="1:44" ht="4.5" customHeight="1" x14ac:dyDescent="0.3">
      <c r="C416" s="31"/>
      <c r="D416" s="31"/>
      <c r="E416" s="32"/>
      <c r="F416" s="33"/>
      <c r="G416" s="31"/>
      <c r="H416" s="31"/>
      <c r="I416" s="31"/>
      <c r="J416" s="215"/>
      <c r="K416" s="216"/>
      <c r="L416" s="216"/>
      <c r="M416" s="216"/>
      <c r="N416" s="216"/>
      <c r="O416" s="216"/>
      <c r="P416" s="216"/>
      <c r="Q416" s="216"/>
      <c r="R416" s="216"/>
      <c r="S416" s="216"/>
      <c r="T416" s="216"/>
      <c r="U416" s="216"/>
      <c r="V416" s="216"/>
      <c r="W416" s="216"/>
      <c r="X416" s="216"/>
      <c r="Y416" s="216"/>
      <c r="Z416" s="216"/>
      <c r="AA416" s="216"/>
      <c r="AB416" s="216"/>
      <c r="AC416" s="216"/>
      <c r="AD416" s="216"/>
      <c r="AE416" s="216"/>
      <c r="AF416" s="216"/>
      <c r="AG416" s="216"/>
      <c r="AH416" s="216"/>
      <c r="AI416" s="216"/>
      <c r="AJ416" s="216"/>
      <c r="AK416" s="216"/>
      <c r="AL416" s="216"/>
      <c r="AM416" s="216"/>
      <c r="AN416" s="216"/>
      <c r="AO416" s="216"/>
      <c r="AP416" s="216"/>
      <c r="AQ416" s="216"/>
      <c r="AR416" s="216"/>
    </row>
    <row r="417" spans="1:48" x14ac:dyDescent="0.3">
      <c r="E417" s="11"/>
      <c r="F417" s="13" t="s">
        <v>700</v>
      </c>
      <c r="J417" s="706" t="str">
        <f>IF(calculations!M23,"describe corrective action proposed to correct any Red Flag or Yellow Flag ranking",IF(calculations!N23,"describe corrective action proposed to correct any Red Flag or Yellow Flag ranking",""))</f>
        <v/>
      </c>
      <c r="K417" s="707"/>
      <c r="L417" s="707"/>
      <c r="M417" s="707"/>
      <c r="N417" s="707"/>
      <c r="O417" s="707"/>
      <c r="P417" s="707"/>
      <c r="Q417" s="707"/>
      <c r="R417" s="707"/>
      <c r="S417" s="707"/>
      <c r="T417" s="707"/>
      <c r="U417" s="707"/>
      <c r="V417" s="707"/>
      <c r="W417" s="707"/>
      <c r="X417" s="707"/>
      <c r="Y417" s="707"/>
      <c r="Z417" s="707"/>
      <c r="AA417" s="707"/>
      <c r="AB417" s="707"/>
      <c r="AC417" s="707"/>
      <c r="AD417" s="707"/>
      <c r="AE417" s="707"/>
      <c r="AF417" s="707"/>
      <c r="AG417" s="707"/>
      <c r="AH417" s="707"/>
      <c r="AI417" s="707"/>
      <c r="AJ417" s="707"/>
      <c r="AK417" s="707"/>
      <c r="AL417" s="707"/>
      <c r="AM417" s="707"/>
      <c r="AN417" s="707"/>
      <c r="AO417" s="707"/>
      <c r="AP417" s="707"/>
      <c r="AQ417" s="707"/>
      <c r="AR417" s="708"/>
    </row>
    <row r="418" spans="1:48" ht="4.5" customHeight="1" x14ac:dyDescent="0.3">
      <c r="E418" s="11"/>
      <c r="G418" s="38"/>
      <c r="J418" s="214"/>
      <c r="K418" s="214"/>
      <c r="L418" s="214"/>
      <c r="M418" s="214"/>
      <c r="N418" s="214"/>
      <c r="O418" s="214"/>
      <c r="P418" s="214"/>
      <c r="Q418" s="214"/>
      <c r="R418" s="214"/>
      <c r="S418" s="214"/>
      <c r="T418" s="214"/>
      <c r="U418" s="214"/>
      <c r="V418" s="214"/>
      <c r="W418" s="214"/>
      <c r="X418" s="214"/>
      <c r="Y418" s="214"/>
      <c r="Z418" s="214"/>
      <c r="AA418" s="214"/>
      <c r="AB418" s="214"/>
      <c r="AC418" s="214"/>
      <c r="AD418" s="214"/>
      <c r="AE418" s="214"/>
      <c r="AF418" s="214"/>
      <c r="AG418" s="214"/>
      <c r="AH418" s="214"/>
      <c r="AI418" s="214"/>
      <c r="AJ418" s="214"/>
      <c r="AK418" s="214"/>
      <c r="AL418" s="214"/>
      <c r="AM418" s="214"/>
      <c r="AN418" s="214"/>
      <c r="AO418" s="214"/>
      <c r="AP418" s="214"/>
      <c r="AQ418" s="214"/>
      <c r="AR418" s="214"/>
    </row>
    <row r="419" spans="1:48" ht="39.75" customHeight="1" x14ac:dyDescent="0.3">
      <c r="E419" s="11"/>
      <c r="F419" s="55" t="str">
        <f>IF(J419&gt;"","REC",IF(calculations!M23,"REC",IF(calculations!N23,"REC","")))</f>
        <v/>
      </c>
      <c r="G419" s="38"/>
      <c r="J419" s="724" t="str">
        <f>IF(calculations!M23=TRUE,Rec!E40,IF(calculations!N23=TRUE,Rec!E41,""))</f>
        <v/>
      </c>
      <c r="K419" s="725"/>
      <c r="L419" s="725"/>
      <c r="M419" s="725"/>
      <c r="N419" s="725"/>
      <c r="O419" s="725"/>
      <c r="P419" s="725"/>
      <c r="Q419" s="725"/>
      <c r="R419" s="725"/>
      <c r="S419" s="725"/>
      <c r="T419" s="725"/>
      <c r="U419" s="725"/>
      <c r="V419" s="725"/>
      <c r="W419" s="725"/>
      <c r="X419" s="725"/>
      <c r="Y419" s="725"/>
      <c r="Z419" s="725"/>
      <c r="AA419" s="725"/>
      <c r="AB419" s="725"/>
      <c r="AC419" s="725"/>
      <c r="AD419" s="725"/>
      <c r="AE419" s="725"/>
      <c r="AF419" s="725"/>
      <c r="AG419" s="725"/>
      <c r="AH419" s="725"/>
      <c r="AI419" s="725"/>
      <c r="AJ419" s="725"/>
      <c r="AK419" s="725"/>
      <c r="AL419" s="725"/>
      <c r="AM419" s="725"/>
      <c r="AN419" s="725"/>
      <c r="AO419" s="725"/>
      <c r="AP419" s="725"/>
      <c r="AQ419" s="725"/>
      <c r="AR419" s="726"/>
    </row>
    <row r="420" spans="1:48" ht="13.5" customHeight="1" x14ac:dyDescent="0.3">
      <c r="E420" s="11"/>
      <c r="F420" s="37"/>
    </row>
    <row r="421" spans="1:48" ht="14.15" x14ac:dyDescent="0.35">
      <c r="A421" s="734">
        <v>2.1</v>
      </c>
      <c r="B421" s="734"/>
      <c r="D421" s="30" t="s">
        <v>176</v>
      </c>
      <c r="E421" s="11"/>
    </row>
    <row r="422" spans="1:48" ht="4.5" customHeight="1" x14ac:dyDescent="0.3">
      <c r="A422" s="13"/>
      <c r="B422" s="69"/>
      <c r="E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row>
    <row r="423" spans="1:48" ht="13.5" customHeight="1" x14ac:dyDescent="0.3">
      <c r="A423" s="13" t="s">
        <v>331</v>
      </c>
      <c r="B423" s="69"/>
      <c r="C423" s="31"/>
      <c r="D423" s="31"/>
      <c r="E423" s="32"/>
      <c r="F423" s="33"/>
      <c r="G423" s="31"/>
      <c r="H423" s="31"/>
      <c r="I423" s="31"/>
      <c r="J423" s="215"/>
      <c r="K423" s="212"/>
      <c r="L423" s="717" t="s">
        <v>1119</v>
      </c>
      <c r="M423" s="717"/>
      <c r="N423" s="717"/>
      <c r="O423" s="717"/>
      <c r="P423" s="717"/>
      <c r="Q423" s="717"/>
      <c r="R423" s="717"/>
      <c r="S423" s="717"/>
      <c r="T423" s="717"/>
      <c r="U423" s="717"/>
      <c r="V423" s="717"/>
      <c r="W423" s="717"/>
      <c r="X423" s="717"/>
      <c r="Y423" s="717"/>
      <c r="Z423" s="717"/>
      <c r="AA423" s="717"/>
      <c r="AB423" s="717"/>
      <c r="AC423" s="717"/>
      <c r="AD423" s="717"/>
      <c r="AE423" s="717"/>
      <c r="AF423" s="717"/>
      <c r="AG423" s="717"/>
      <c r="AH423" s="717"/>
      <c r="AI423" s="717"/>
      <c r="AJ423" s="717"/>
      <c r="AK423" s="717"/>
      <c r="AL423" s="717"/>
      <c r="AM423" s="717"/>
      <c r="AN423" s="717"/>
      <c r="AO423" s="717"/>
      <c r="AP423" s="717"/>
      <c r="AQ423" s="717"/>
      <c r="AR423" s="717"/>
    </row>
    <row r="424" spans="1:48" ht="4.5" customHeight="1" x14ac:dyDescent="0.3">
      <c r="A424" s="13"/>
      <c r="B424" s="69"/>
      <c r="C424" s="31"/>
      <c r="D424" s="31"/>
      <c r="E424" s="34"/>
      <c r="F424" s="31"/>
      <c r="G424" s="31"/>
      <c r="H424" s="31"/>
      <c r="I424" s="31"/>
      <c r="J424" s="215"/>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c r="AL424" s="212"/>
      <c r="AM424" s="212"/>
      <c r="AN424" s="212"/>
      <c r="AO424" s="212"/>
      <c r="AP424" s="212"/>
      <c r="AQ424" s="212"/>
      <c r="AR424" s="212"/>
    </row>
    <row r="425" spans="1:48" ht="63.75" customHeight="1" x14ac:dyDescent="0.3">
      <c r="A425" s="13" t="s">
        <v>332</v>
      </c>
      <c r="B425" s="69"/>
      <c r="C425" s="31"/>
      <c r="D425" s="31"/>
      <c r="E425" s="32"/>
      <c r="F425" s="33"/>
      <c r="G425" s="31"/>
      <c r="H425" s="31"/>
      <c r="I425" s="31"/>
      <c r="J425" s="215"/>
      <c r="K425" s="212"/>
      <c r="L425" s="717" t="s">
        <v>1975</v>
      </c>
      <c r="M425" s="717"/>
      <c r="N425" s="717"/>
      <c r="O425" s="717"/>
      <c r="P425" s="717"/>
      <c r="Q425" s="717"/>
      <c r="R425" s="717"/>
      <c r="S425" s="717"/>
      <c r="T425" s="717"/>
      <c r="U425" s="717"/>
      <c r="V425" s="717"/>
      <c r="W425" s="717"/>
      <c r="X425" s="717"/>
      <c r="Y425" s="717"/>
      <c r="Z425" s="717"/>
      <c r="AA425" s="717"/>
      <c r="AB425" s="717"/>
      <c r="AC425" s="717"/>
      <c r="AD425" s="717"/>
      <c r="AE425" s="717"/>
      <c r="AF425" s="717"/>
      <c r="AG425" s="717"/>
      <c r="AH425" s="717"/>
      <c r="AI425" s="717"/>
      <c r="AJ425" s="717"/>
      <c r="AK425" s="717"/>
      <c r="AL425" s="717"/>
      <c r="AM425" s="717"/>
      <c r="AN425" s="717"/>
      <c r="AO425" s="717"/>
      <c r="AP425" s="717"/>
      <c r="AQ425" s="717"/>
      <c r="AR425" s="717"/>
    </row>
    <row r="426" spans="1:48" ht="4.5" customHeight="1" x14ac:dyDescent="0.3">
      <c r="A426" s="13"/>
      <c r="B426" s="69"/>
      <c r="C426" s="31"/>
      <c r="D426" s="31"/>
      <c r="E426" s="32"/>
      <c r="F426" s="33"/>
      <c r="G426" s="31"/>
      <c r="H426" s="31"/>
      <c r="I426" s="31"/>
      <c r="J426" s="215"/>
      <c r="K426" s="212"/>
      <c r="L426" s="212"/>
      <c r="M426" s="212"/>
      <c r="N426" s="212"/>
      <c r="O426" s="212"/>
      <c r="P426" s="212"/>
      <c r="Q426" s="212"/>
      <c r="R426" s="212"/>
      <c r="S426" s="212"/>
      <c r="T426" s="212"/>
      <c r="U426" s="212"/>
      <c r="V426" s="212"/>
      <c r="W426" s="212"/>
      <c r="X426" s="212"/>
      <c r="Y426" s="212"/>
      <c r="Z426" s="212"/>
      <c r="AA426" s="212"/>
      <c r="AB426" s="212"/>
      <c r="AC426" s="212"/>
      <c r="AD426" s="212"/>
      <c r="AE426" s="212"/>
      <c r="AF426" s="212"/>
      <c r="AG426" s="212"/>
      <c r="AH426" s="212"/>
      <c r="AI426" s="212"/>
      <c r="AJ426" s="212"/>
      <c r="AK426" s="212"/>
      <c r="AL426" s="212"/>
      <c r="AM426" s="212"/>
      <c r="AN426" s="212"/>
      <c r="AO426" s="212"/>
      <c r="AP426" s="212"/>
      <c r="AQ426" s="212"/>
      <c r="AR426" s="212"/>
    </row>
    <row r="427" spans="1:48" ht="48.75" customHeight="1" x14ac:dyDescent="0.3">
      <c r="A427" s="13" t="s">
        <v>333</v>
      </c>
      <c r="B427" s="69"/>
      <c r="C427" s="31"/>
      <c r="D427" s="31"/>
      <c r="E427" s="34"/>
      <c r="F427" s="31"/>
      <c r="G427" s="31"/>
      <c r="H427" s="31"/>
      <c r="I427" s="31"/>
      <c r="J427" s="215"/>
      <c r="K427" s="212"/>
      <c r="L427" s="717" t="s">
        <v>1152</v>
      </c>
      <c r="M427" s="717"/>
      <c r="N427" s="717"/>
      <c r="O427" s="717"/>
      <c r="P427" s="717"/>
      <c r="Q427" s="717"/>
      <c r="R427" s="717"/>
      <c r="S427" s="717"/>
      <c r="T427" s="717"/>
      <c r="U427" s="717"/>
      <c r="V427" s="717"/>
      <c r="W427" s="717"/>
      <c r="X427" s="717"/>
      <c r="Y427" s="717"/>
      <c r="Z427" s="717"/>
      <c r="AA427" s="717"/>
      <c r="AB427" s="717"/>
      <c r="AC427" s="717"/>
      <c r="AD427" s="717"/>
      <c r="AE427" s="717"/>
      <c r="AF427" s="717"/>
      <c r="AG427" s="717"/>
      <c r="AH427" s="717"/>
      <c r="AI427" s="717"/>
      <c r="AJ427" s="717"/>
      <c r="AK427" s="717"/>
      <c r="AL427" s="717"/>
      <c r="AM427" s="717"/>
      <c r="AN427" s="717"/>
      <c r="AO427" s="717"/>
      <c r="AP427" s="717"/>
      <c r="AQ427" s="717"/>
      <c r="AR427" s="717"/>
    </row>
    <row r="428" spans="1:48" ht="4.5" customHeight="1" x14ac:dyDescent="0.3">
      <c r="A428" s="13"/>
      <c r="B428" s="69"/>
      <c r="C428" s="31"/>
      <c r="D428" s="31"/>
      <c r="E428" s="34"/>
      <c r="F428" s="31"/>
      <c r="G428" s="31"/>
      <c r="H428" s="31"/>
      <c r="I428" s="31"/>
      <c r="J428" s="215"/>
      <c r="K428" s="212"/>
      <c r="L428" s="212"/>
      <c r="M428" s="212"/>
      <c r="N428" s="212"/>
      <c r="O428" s="212"/>
      <c r="P428" s="212"/>
      <c r="Q428" s="212"/>
      <c r="R428" s="212"/>
      <c r="S428" s="212"/>
      <c r="T428" s="212"/>
      <c r="U428" s="212"/>
      <c r="V428" s="212"/>
      <c r="W428" s="212"/>
      <c r="X428" s="212"/>
      <c r="Y428" s="212"/>
      <c r="Z428" s="212"/>
      <c r="AA428" s="212"/>
      <c r="AB428" s="212"/>
      <c r="AC428" s="212"/>
      <c r="AD428" s="212"/>
      <c r="AE428" s="212"/>
      <c r="AF428" s="212"/>
      <c r="AG428" s="212"/>
      <c r="AH428" s="212"/>
      <c r="AI428" s="212"/>
      <c r="AJ428" s="212"/>
      <c r="AK428" s="212"/>
      <c r="AL428" s="212"/>
      <c r="AM428" s="212"/>
      <c r="AN428" s="212"/>
      <c r="AO428" s="212"/>
      <c r="AP428" s="212"/>
      <c r="AQ428" s="212"/>
      <c r="AR428" s="212"/>
    </row>
    <row r="429" spans="1:48" ht="63" customHeight="1" x14ac:dyDescent="0.3">
      <c r="A429" s="13" t="s">
        <v>334</v>
      </c>
      <c r="B429" s="69"/>
      <c r="C429" s="31"/>
      <c r="D429" s="31"/>
      <c r="E429" s="32"/>
      <c r="F429" s="33"/>
      <c r="G429" s="31"/>
      <c r="H429" s="31"/>
      <c r="I429" s="31"/>
      <c r="J429" s="215"/>
      <c r="K429" s="212"/>
      <c r="L429" s="717" t="s">
        <v>1153</v>
      </c>
      <c r="M429" s="717"/>
      <c r="N429" s="717"/>
      <c r="O429" s="717"/>
      <c r="P429" s="717"/>
      <c r="Q429" s="717"/>
      <c r="R429" s="717"/>
      <c r="S429" s="717"/>
      <c r="T429" s="717"/>
      <c r="U429" s="717"/>
      <c r="V429" s="717"/>
      <c r="W429" s="717"/>
      <c r="X429" s="717"/>
      <c r="Y429" s="717"/>
      <c r="Z429" s="717"/>
      <c r="AA429" s="717"/>
      <c r="AB429" s="717"/>
      <c r="AC429" s="717"/>
      <c r="AD429" s="717"/>
      <c r="AE429" s="717"/>
      <c r="AF429" s="717"/>
      <c r="AG429" s="717"/>
      <c r="AH429" s="717"/>
      <c r="AI429" s="717"/>
      <c r="AJ429" s="717"/>
      <c r="AK429" s="717"/>
      <c r="AL429" s="717"/>
      <c r="AM429" s="717"/>
      <c r="AN429" s="717"/>
      <c r="AO429" s="717"/>
      <c r="AP429" s="717"/>
      <c r="AQ429" s="717"/>
      <c r="AR429" s="717"/>
      <c r="AV429" s="82"/>
    </row>
    <row r="430" spans="1:48" ht="4.5" customHeight="1" x14ac:dyDescent="0.3">
      <c r="A430" s="13"/>
      <c r="B430" s="69"/>
      <c r="E430" s="35"/>
      <c r="J430" s="214"/>
      <c r="K430" s="212"/>
      <c r="L430" s="212"/>
      <c r="M430" s="212"/>
      <c r="N430" s="212"/>
      <c r="O430" s="212"/>
      <c r="P430" s="212"/>
      <c r="Q430" s="212"/>
      <c r="R430" s="212"/>
      <c r="S430" s="212"/>
      <c r="T430" s="212"/>
      <c r="U430" s="212"/>
      <c r="V430" s="212"/>
      <c r="W430" s="212"/>
      <c r="X430" s="212"/>
      <c r="Y430" s="212"/>
      <c r="Z430" s="212"/>
      <c r="AA430" s="212"/>
      <c r="AB430" s="212"/>
      <c r="AC430" s="212"/>
      <c r="AD430" s="212"/>
      <c r="AE430" s="212"/>
      <c r="AF430" s="212"/>
      <c r="AG430" s="212"/>
      <c r="AH430" s="212"/>
      <c r="AI430" s="212"/>
      <c r="AJ430" s="212"/>
      <c r="AK430" s="212"/>
      <c r="AL430" s="212"/>
      <c r="AM430" s="212"/>
      <c r="AN430" s="212"/>
      <c r="AO430" s="212"/>
      <c r="AP430" s="212"/>
      <c r="AQ430" s="212"/>
      <c r="AR430" s="212"/>
    </row>
    <row r="431" spans="1:48" ht="12.75" customHeight="1" x14ac:dyDescent="0.3">
      <c r="A431" s="13" t="s">
        <v>335</v>
      </c>
      <c r="B431" s="69"/>
      <c r="E431" s="11"/>
      <c r="F431" s="3"/>
      <c r="J431" s="214"/>
      <c r="K431" s="212"/>
      <c r="L431" s="717" t="s">
        <v>1154</v>
      </c>
      <c r="M431" s="717"/>
      <c r="N431" s="717"/>
      <c r="O431" s="717"/>
      <c r="P431" s="717"/>
      <c r="Q431" s="717"/>
      <c r="R431" s="717"/>
      <c r="S431" s="717"/>
      <c r="T431" s="717"/>
      <c r="U431" s="717"/>
      <c r="V431" s="717"/>
      <c r="W431" s="717"/>
      <c r="X431" s="717"/>
      <c r="Y431" s="717"/>
      <c r="Z431" s="717"/>
      <c r="AA431" s="717"/>
      <c r="AB431" s="717"/>
      <c r="AC431" s="717"/>
      <c r="AD431" s="717"/>
      <c r="AE431" s="717"/>
      <c r="AF431" s="717"/>
      <c r="AG431" s="717"/>
      <c r="AH431" s="717"/>
      <c r="AI431" s="717"/>
      <c r="AJ431" s="717"/>
      <c r="AK431" s="717"/>
      <c r="AL431" s="717"/>
      <c r="AM431" s="717"/>
      <c r="AN431" s="717"/>
      <c r="AO431" s="717"/>
      <c r="AP431" s="717"/>
      <c r="AQ431" s="717"/>
      <c r="AR431" s="717"/>
    </row>
    <row r="432" spans="1:48" ht="4.5" customHeight="1" x14ac:dyDescent="0.3">
      <c r="A432" s="13"/>
      <c r="B432" s="69"/>
      <c r="E432" s="11"/>
      <c r="J432" s="214"/>
      <c r="K432" s="212"/>
      <c r="L432" s="212"/>
      <c r="M432" s="212"/>
      <c r="N432" s="212"/>
      <c r="O432" s="212"/>
      <c r="P432" s="212"/>
      <c r="Q432" s="212"/>
      <c r="R432" s="212"/>
      <c r="S432" s="212"/>
      <c r="T432" s="212"/>
      <c r="U432" s="212"/>
      <c r="V432" s="212"/>
      <c r="W432" s="212"/>
      <c r="X432" s="212"/>
      <c r="Y432" s="212"/>
      <c r="Z432" s="212"/>
      <c r="AA432" s="212"/>
      <c r="AB432" s="212"/>
      <c r="AC432" s="212"/>
      <c r="AD432" s="212"/>
      <c r="AE432" s="212"/>
      <c r="AF432" s="212"/>
      <c r="AG432" s="212"/>
      <c r="AH432" s="212"/>
      <c r="AI432" s="212"/>
      <c r="AJ432" s="212"/>
      <c r="AK432" s="212"/>
      <c r="AL432" s="212"/>
      <c r="AM432" s="212"/>
      <c r="AN432" s="212"/>
      <c r="AO432" s="212"/>
      <c r="AP432" s="212"/>
      <c r="AQ432" s="212"/>
      <c r="AR432" s="212"/>
    </row>
    <row r="433" spans="1:44" ht="12.75" customHeight="1" x14ac:dyDescent="0.3">
      <c r="A433" s="13" t="s">
        <v>336</v>
      </c>
      <c r="B433" s="69"/>
      <c r="C433" s="39"/>
      <c r="D433" s="39"/>
      <c r="E433" s="44"/>
      <c r="F433" s="39"/>
      <c r="G433" s="39"/>
      <c r="H433" s="39"/>
      <c r="I433" s="39"/>
      <c r="J433" s="218"/>
      <c r="K433" s="219"/>
      <c r="L433" s="717" t="s">
        <v>1155</v>
      </c>
      <c r="M433" s="717"/>
      <c r="N433" s="717"/>
      <c r="O433" s="717"/>
      <c r="P433" s="717"/>
      <c r="Q433" s="717"/>
      <c r="R433" s="717"/>
      <c r="S433" s="717"/>
      <c r="T433" s="717"/>
      <c r="U433" s="717"/>
      <c r="V433" s="717"/>
      <c r="W433" s="717"/>
      <c r="X433" s="717"/>
      <c r="Y433" s="717"/>
      <c r="Z433" s="717"/>
      <c r="AA433" s="717"/>
      <c r="AB433" s="717"/>
      <c r="AC433" s="717"/>
      <c r="AD433" s="717"/>
      <c r="AE433" s="717"/>
      <c r="AF433" s="717"/>
      <c r="AG433" s="717"/>
      <c r="AH433" s="717"/>
      <c r="AI433" s="717"/>
      <c r="AJ433" s="717"/>
      <c r="AK433" s="717"/>
      <c r="AL433" s="717"/>
      <c r="AM433" s="717"/>
      <c r="AN433" s="717"/>
      <c r="AO433" s="717"/>
      <c r="AP433" s="717"/>
      <c r="AQ433" s="717"/>
      <c r="AR433" s="717"/>
    </row>
    <row r="434" spans="1:44" ht="4.5" customHeight="1" x14ac:dyDescent="0.3">
      <c r="C434" s="31"/>
      <c r="D434" s="31"/>
      <c r="E434" s="32"/>
      <c r="F434" s="33"/>
      <c r="G434" s="31"/>
      <c r="H434" s="31"/>
      <c r="I434" s="31"/>
      <c r="J434" s="215"/>
      <c r="K434" s="216"/>
      <c r="L434" s="216"/>
      <c r="M434" s="216"/>
      <c r="N434" s="216"/>
      <c r="O434" s="216"/>
      <c r="P434" s="216"/>
      <c r="Q434" s="216"/>
      <c r="R434" s="216"/>
      <c r="S434" s="216"/>
      <c r="T434" s="216"/>
      <c r="U434" s="216"/>
      <c r="V434" s="216"/>
      <c r="W434" s="216"/>
      <c r="X434" s="216"/>
      <c r="Y434" s="216"/>
      <c r="Z434" s="216"/>
      <c r="AA434" s="216"/>
      <c r="AB434" s="216"/>
      <c r="AC434" s="216"/>
      <c r="AD434" s="216"/>
      <c r="AE434" s="216"/>
      <c r="AF434" s="216"/>
      <c r="AG434" s="216"/>
      <c r="AH434" s="216"/>
      <c r="AI434" s="216"/>
      <c r="AJ434" s="216"/>
      <c r="AK434" s="216"/>
      <c r="AL434" s="216"/>
      <c r="AM434" s="216"/>
      <c r="AN434" s="216"/>
      <c r="AO434" s="216"/>
      <c r="AP434" s="216"/>
      <c r="AQ434" s="216"/>
      <c r="AR434" s="216"/>
    </row>
    <row r="435" spans="1:44" x14ac:dyDescent="0.3">
      <c r="E435" s="11"/>
      <c r="F435" s="13" t="s">
        <v>700</v>
      </c>
      <c r="J435" s="706" t="str">
        <f>IF(calculations!M24,"describe corrective action proposed to correct any Red Flag or Yellow Flag ranking",IF(calculations!N24,"describe corrective action proposed to correct any Red Flag or Yellow Flag ranking","we changed the criteria"))</f>
        <v>we changed the criteria</v>
      </c>
      <c r="K435" s="707"/>
      <c r="L435" s="707"/>
      <c r="M435" s="707"/>
      <c r="N435" s="707"/>
      <c r="O435" s="707"/>
      <c r="P435" s="707"/>
      <c r="Q435" s="707"/>
      <c r="R435" s="707"/>
      <c r="S435" s="707"/>
      <c r="T435" s="707"/>
      <c r="U435" s="707"/>
      <c r="V435" s="707"/>
      <c r="W435" s="707"/>
      <c r="X435" s="707"/>
      <c r="Y435" s="707"/>
      <c r="Z435" s="707"/>
      <c r="AA435" s="707"/>
      <c r="AB435" s="707"/>
      <c r="AC435" s="707"/>
      <c r="AD435" s="707"/>
      <c r="AE435" s="707"/>
      <c r="AF435" s="707"/>
      <c r="AG435" s="707"/>
      <c r="AH435" s="707"/>
      <c r="AI435" s="707"/>
      <c r="AJ435" s="707"/>
      <c r="AK435" s="707"/>
      <c r="AL435" s="707"/>
      <c r="AM435" s="707"/>
      <c r="AN435" s="707"/>
      <c r="AO435" s="707"/>
      <c r="AP435" s="707"/>
      <c r="AQ435" s="707"/>
      <c r="AR435" s="708"/>
    </row>
    <row r="436" spans="1:44" ht="4.5" customHeight="1" x14ac:dyDescent="0.3">
      <c r="E436" s="11"/>
      <c r="G436" s="38"/>
      <c r="J436" s="214"/>
      <c r="K436" s="214"/>
      <c r="L436" s="214"/>
      <c r="M436" s="214"/>
      <c r="N436" s="214"/>
      <c r="O436" s="214"/>
      <c r="P436" s="214"/>
      <c r="Q436" s="214"/>
      <c r="R436" s="214"/>
      <c r="S436" s="214"/>
      <c r="T436" s="214"/>
      <c r="U436" s="214"/>
      <c r="V436" s="214"/>
      <c r="W436" s="214"/>
      <c r="X436" s="214"/>
      <c r="Y436" s="214"/>
      <c r="Z436" s="214"/>
      <c r="AA436" s="214"/>
      <c r="AB436" s="214"/>
      <c r="AC436" s="214"/>
      <c r="AD436" s="214"/>
      <c r="AE436" s="214"/>
      <c r="AF436" s="214"/>
      <c r="AG436" s="214"/>
      <c r="AH436" s="214"/>
      <c r="AI436" s="214"/>
      <c r="AJ436" s="214"/>
      <c r="AK436" s="214"/>
      <c r="AL436" s="214"/>
      <c r="AM436" s="214"/>
      <c r="AN436" s="214"/>
      <c r="AO436" s="214"/>
      <c r="AP436" s="214"/>
      <c r="AQ436" s="214"/>
      <c r="AR436" s="214"/>
    </row>
    <row r="437" spans="1:44" ht="62.25" customHeight="1" x14ac:dyDescent="0.3">
      <c r="E437" s="11"/>
      <c r="F437" s="55" t="str">
        <f>IF(J437&gt;"","REC",IF(calculations!M24,"REC",IF(calculations!N24,"REC","")))</f>
        <v/>
      </c>
      <c r="G437" s="38"/>
      <c r="J437" s="724" t="str">
        <f>IF(calculations!M24=TRUE,Rec!E42,IF(calculations!N24=TRUE,Rec!E43,""))</f>
        <v/>
      </c>
      <c r="K437" s="725"/>
      <c r="L437" s="725"/>
      <c r="M437" s="725"/>
      <c r="N437" s="725"/>
      <c r="O437" s="725"/>
      <c r="P437" s="725"/>
      <c r="Q437" s="725"/>
      <c r="R437" s="725"/>
      <c r="S437" s="725"/>
      <c r="T437" s="725"/>
      <c r="U437" s="725"/>
      <c r="V437" s="725"/>
      <c r="W437" s="725"/>
      <c r="X437" s="725"/>
      <c r="Y437" s="725"/>
      <c r="Z437" s="725"/>
      <c r="AA437" s="725"/>
      <c r="AB437" s="725"/>
      <c r="AC437" s="725"/>
      <c r="AD437" s="725"/>
      <c r="AE437" s="725"/>
      <c r="AF437" s="725"/>
      <c r="AG437" s="725"/>
      <c r="AH437" s="725"/>
      <c r="AI437" s="725"/>
      <c r="AJ437" s="725"/>
      <c r="AK437" s="725"/>
      <c r="AL437" s="725"/>
      <c r="AM437" s="725"/>
      <c r="AN437" s="725"/>
      <c r="AO437" s="725"/>
      <c r="AP437" s="725"/>
      <c r="AQ437" s="725"/>
      <c r="AR437" s="726"/>
    </row>
    <row r="438" spans="1:44" ht="13.5" customHeight="1" x14ac:dyDescent="0.3">
      <c r="E438" s="11"/>
      <c r="F438" s="37"/>
    </row>
    <row r="439" spans="1:44" ht="14.15" x14ac:dyDescent="0.35">
      <c r="A439" s="734">
        <v>2.11</v>
      </c>
      <c r="B439" s="734"/>
      <c r="D439" s="30" t="s">
        <v>175</v>
      </c>
      <c r="E439" s="11"/>
    </row>
    <row r="440" spans="1:44" ht="4.5" customHeight="1" x14ac:dyDescent="0.3">
      <c r="A440" s="13"/>
      <c r="B440" s="69"/>
      <c r="E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row>
    <row r="441" spans="1:44" ht="26.25" customHeight="1" x14ac:dyDescent="0.3">
      <c r="A441" s="13" t="s">
        <v>337</v>
      </c>
      <c r="B441" s="69"/>
      <c r="C441" s="31"/>
      <c r="D441" s="31"/>
      <c r="E441" s="32"/>
      <c r="F441" s="33"/>
      <c r="G441" s="31"/>
      <c r="H441" s="31"/>
      <c r="I441" s="31"/>
      <c r="J441" s="215"/>
      <c r="K441" s="212"/>
      <c r="L441" s="731" t="s">
        <v>1118</v>
      </c>
      <c r="M441" s="731"/>
      <c r="N441" s="731"/>
      <c r="O441" s="731"/>
      <c r="P441" s="731"/>
      <c r="Q441" s="731"/>
      <c r="R441" s="731"/>
      <c r="S441" s="731"/>
      <c r="T441" s="731"/>
      <c r="U441" s="731"/>
      <c r="V441" s="731"/>
      <c r="W441" s="731"/>
      <c r="X441" s="731"/>
      <c r="Y441" s="731"/>
      <c r="Z441" s="731"/>
      <c r="AA441" s="731"/>
      <c r="AB441" s="731"/>
      <c r="AC441" s="731"/>
      <c r="AD441" s="731"/>
      <c r="AE441" s="731"/>
      <c r="AF441" s="731"/>
      <c r="AG441" s="731"/>
      <c r="AH441" s="731"/>
      <c r="AI441" s="731"/>
      <c r="AJ441" s="731"/>
      <c r="AK441" s="731"/>
      <c r="AL441" s="731"/>
      <c r="AM441" s="731"/>
      <c r="AN441" s="731"/>
      <c r="AO441" s="731"/>
      <c r="AP441" s="731"/>
      <c r="AQ441" s="731"/>
      <c r="AR441" s="731"/>
    </row>
    <row r="442" spans="1:44" ht="4.5" customHeight="1" x14ac:dyDescent="0.3">
      <c r="A442" s="13"/>
      <c r="B442" s="69"/>
      <c r="C442" s="31"/>
      <c r="D442" s="31"/>
      <c r="E442" s="34"/>
      <c r="F442" s="31"/>
      <c r="G442" s="31"/>
      <c r="H442" s="31"/>
      <c r="I442" s="31"/>
      <c r="J442" s="215"/>
      <c r="K442" s="212"/>
      <c r="L442" s="212"/>
      <c r="M442" s="212"/>
      <c r="N442" s="212"/>
      <c r="O442" s="212"/>
      <c r="P442" s="212"/>
      <c r="Q442" s="212"/>
      <c r="R442" s="212"/>
      <c r="S442" s="212"/>
      <c r="T442" s="212"/>
      <c r="U442" s="212"/>
      <c r="V442" s="212"/>
      <c r="W442" s="212"/>
      <c r="X442" s="212"/>
      <c r="Y442" s="212"/>
      <c r="Z442" s="212"/>
      <c r="AA442" s="212"/>
      <c r="AB442" s="212"/>
      <c r="AC442" s="212"/>
      <c r="AD442" s="212"/>
      <c r="AE442" s="212"/>
      <c r="AF442" s="212"/>
      <c r="AG442" s="212"/>
      <c r="AH442" s="212"/>
      <c r="AI442" s="212"/>
      <c r="AJ442" s="212"/>
      <c r="AK442" s="212"/>
      <c r="AL442" s="212"/>
      <c r="AM442" s="212"/>
      <c r="AN442" s="212"/>
      <c r="AO442" s="212"/>
      <c r="AP442" s="212"/>
      <c r="AQ442" s="212"/>
      <c r="AR442" s="212"/>
    </row>
    <row r="443" spans="1:44" ht="63" customHeight="1" x14ac:dyDescent="0.3">
      <c r="A443" s="13" t="s">
        <v>338</v>
      </c>
      <c r="B443" s="69"/>
      <c r="C443" s="31"/>
      <c r="D443" s="31"/>
      <c r="E443" s="32"/>
      <c r="F443" s="33"/>
      <c r="G443" s="31"/>
      <c r="H443" s="31"/>
      <c r="I443" s="31"/>
      <c r="J443" s="215"/>
      <c r="K443" s="212"/>
      <c r="L443" s="717" t="str">
        <f>IF(calculations!B3=1,forms!A242,forms!A241)</f>
        <v>1) PLATINUM MEDAL plus all guards are certified or re-certified in the Lifeguard, CPR, and First Aid programs standard to the association within 30 days of hire or re-hire (i.e., actually take or retake the classes or take and pass the full examinations for the classes).  
2) All new-to-the-association guards spend two hours shadowing an experience guard before working their first actual shift.</v>
      </c>
      <c r="M443" s="717"/>
      <c r="N443" s="717"/>
      <c r="O443" s="717"/>
      <c r="P443" s="717"/>
      <c r="Q443" s="717"/>
      <c r="R443" s="717"/>
      <c r="S443" s="717"/>
      <c r="T443" s="717"/>
      <c r="U443" s="717"/>
      <c r="V443" s="717"/>
      <c r="W443" s="717"/>
      <c r="X443" s="717"/>
      <c r="Y443" s="717"/>
      <c r="Z443" s="717"/>
      <c r="AA443" s="717"/>
      <c r="AB443" s="717"/>
      <c r="AC443" s="717"/>
      <c r="AD443" s="717"/>
      <c r="AE443" s="717"/>
      <c r="AF443" s="717"/>
      <c r="AG443" s="717"/>
      <c r="AH443" s="717"/>
      <c r="AI443" s="717"/>
      <c r="AJ443" s="717"/>
      <c r="AK443" s="717"/>
      <c r="AL443" s="717"/>
      <c r="AM443" s="717"/>
      <c r="AN443" s="717"/>
      <c r="AO443" s="717"/>
      <c r="AP443" s="717"/>
      <c r="AQ443" s="717"/>
      <c r="AR443" s="717"/>
    </row>
    <row r="444" spans="1:44" ht="4.5" customHeight="1" x14ac:dyDescent="0.3">
      <c r="A444" s="13"/>
      <c r="B444" s="69"/>
      <c r="C444" s="31"/>
      <c r="D444" s="31"/>
      <c r="E444" s="32"/>
      <c r="F444" s="33"/>
      <c r="G444" s="31"/>
      <c r="H444" s="31"/>
      <c r="I444" s="31"/>
      <c r="J444" s="215"/>
      <c r="K444" s="212"/>
      <c r="L444" s="212"/>
      <c r="M444" s="212"/>
      <c r="N444" s="212"/>
      <c r="O444" s="212"/>
      <c r="P444" s="212"/>
      <c r="Q444" s="212"/>
      <c r="R444" s="212"/>
      <c r="S444" s="212"/>
      <c r="T444" s="212"/>
      <c r="U444" s="212"/>
      <c r="V444" s="212"/>
      <c r="W444" s="212"/>
      <c r="X444" s="212"/>
      <c r="Y444" s="212"/>
      <c r="Z444" s="212"/>
      <c r="AA444" s="212"/>
      <c r="AB444" s="212"/>
      <c r="AC444" s="212"/>
      <c r="AD444" s="212"/>
      <c r="AE444" s="212"/>
      <c r="AF444" s="212"/>
      <c r="AG444" s="212"/>
      <c r="AH444" s="212"/>
      <c r="AI444" s="212"/>
      <c r="AJ444" s="212"/>
      <c r="AK444" s="212"/>
      <c r="AL444" s="212"/>
      <c r="AM444" s="212"/>
      <c r="AN444" s="212"/>
      <c r="AO444" s="212"/>
      <c r="AP444" s="212"/>
      <c r="AQ444" s="212"/>
      <c r="AR444" s="212"/>
    </row>
    <row r="445" spans="1:44" ht="26.25" customHeight="1" x14ac:dyDescent="0.3">
      <c r="A445" s="13" t="s">
        <v>339</v>
      </c>
      <c r="B445" s="69"/>
      <c r="C445" s="31"/>
      <c r="D445" s="31"/>
      <c r="E445" s="34"/>
      <c r="F445" s="31"/>
      <c r="G445" s="31"/>
      <c r="H445" s="31"/>
      <c r="I445" s="31"/>
      <c r="J445" s="215"/>
      <c r="K445" s="212"/>
      <c r="L445" s="717" t="s">
        <v>9161</v>
      </c>
      <c r="M445" s="717"/>
      <c r="N445" s="717"/>
      <c r="O445" s="717"/>
      <c r="P445" s="717"/>
      <c r="Q445" s="717"/>
      <c r="R445" s="717"/>
      <c r="S445" s="717"/>
      <c r="T445" s="717"/>
      <c r="U445" s="717"/>
      <c r="V445" s="717"/>
      <c r="W445" s="717"/>
      <c r="X445" s="717"/>
      <c r="Y445" s="717"/>
      <c r="Z445" s="717"/>
      <c r="AA445" s="717"/>
      <c r="AB445" s="717"/>
      <c r="AC445" s="717"/>
      <c r="AD445" s="717"/>
      <c r="AE445" s="717"/>
      <c r="AF445" s="717"/>
      <c r="AG445" s="717"/>
      <c r="AH445" s="717"/>
      <c r="AI445" s="717"/>
      <c r="AJ445" s="717"/>
      <c r="AK445" s="717"/>
      <c r="AL445" s="717"/>
      <c r="AM445" s="717"/>
      <c r="AN445" s="717"/>
      <c r="AO445" s="717"/>
      <c r="AP445" s="717"/>
      <c r="AQ445" s="717"/>
      <c r="AR445" s="717"/>
    </row>
    <row r="446" spans="1:44" ht="4.5" customHeight="1" x14ac:dyDescent="0.3">
      <c r="A446" s="13"/>
      <c r="B446" s="69"/>
      <c r="C446" s="31"/>
      <c r="D446" s="31"/>
      <c r="E446" s="34"/>
      <c r="F446" s="31"/>
      <c r="G446" s="31"/>
      <c r="H446" s="31"/>
      <c r="I446" s="31"/>
      <c r="J446" s="215"/>
      <c r="K446" s="212"/>
      <c r="L446" s="212"/>
      <c r="M446" s="212"/>
      <c r="N446" s="212"/>
      <c r="O446" s="212"/>
      <c r="P446" s="212"/>
      <c r="Q446" s="212"/>
      <c r="R446" s="212"/>
      <c r="S446" s="212"/>
      <c r="T446" s="212"/>
      <c r="U446" s="212"/>
      <c r="V446" s="212"/>
      <c r="W446" s="212"/>
      <c r="X446" s="212"/>
      <c r="Y446" s="212"/>
      <c r="Z446" s="212"/>
      <c r="AA446" s="212"/>
      <c r="AB446" s="212"/>
      <c r="AC446" s="212"/>
      <c r="AD446" s="212"/>
      <c r="AE446" s="212"/>
      <c r="AF446" s="212"/>
      <c r="AG446" s="212"/>
      <c r="AH446" s="212"/>
      <c r="AI446" s="212"/>
      <c r="AJ446" s="212"/>
      <c r="AK446" s="212"/>
      <c r="AL446" s="212"/>
      <c r="AM446" s="212"/>
      <c r="AN446" s="212"/>
      <c r="AO446" s="212"/>
      <c r="AP446" s="212"/>
      <c r="AQ446" s="212"/>
      <c r="AR446" s="212"/>
    </row>
    <row r="447" spans="1:44" ht="50.25" customHeight="1" x14ac:dyDescent="0.3">
      <c r="A447" s="13" t="s">
        <v>340</v>
      </c>
      <c r="B447" s="69"/>
      <c r="C447" s="31"/>
      <c r="D447" s="31"/>
      <c r="E447" s="32"/>
      <c r="F447" s="33"/>
      <c r="G447" s="31"/>
      <c r="H447" s="31"/>
      <c r="I447" s="31"/>
      <c r="J447" s="215"/>
      <c r="K447" s="212"/>
      <c r="L447" s="717" t="s">
        <v>1156</v>
      </c>
      <c r="M447" s="717"/>
      <c r="N447" s="717"/>
      <c r="O447" s="717"/>
      <c r="P447" s="717"/>
      <c r="Q447" s="717"/>
      <c r="R447" s="717"/>
      <c r="S447" s="717"/>
      <c r="T447" s="717"/>
      <c r="U447" s="717"/>
      <c r="V447" s="717"/>
      <c r="W447" s="717"/>
      <c r="X447" s="717"/>
      <c r="Y447" s="717"/>
      <c r="Z447" s="717"/>
      <c r="AA447" s="717"/>
      <c r="AB447" s="717"/>
      <c r="AC447" s="717"/>
      <c r="AD447" s="717"/>
      <c r="AE447" s="717"/>
      <c r="AF447" s="717"/>
      <c r="AG447" s="717"/>
      <c r="AH447" s="717"/>
      <c r="AI447" s="717"/>
      <c r="AJ447" s="717"/>
      <c r="AK447" s="717"/>
      <c r="AL447" s="717"/>
      <c r="AM447" s="717"/>
      <c r="AN447" s="717"/>
      <c r="AO447" s="717"/>
      <c r="AP447" s="717"/>
      <c r="AQ447" s="717"/>
      <c r="AR447" s="717"/>
    </row>
    <row r="448" spans="1:44" ht="4.5" customHeight="1" x14ac:dyDescent="0.3">
      <c r="A448" s="13"/>
      <c r="B448" s="69"/>
      <c r="E448" s="35"/>
      <c r="J448" s="214"/>
      <c r="K448" s="212"/>
      <c r="L448" s="212"/>
      <c r="M448" s="212"/>
      <c r="N448" s="212"/>
      <c r="O448" s="212"/>
      <c r="P448" s="212"/>
      <c r="Q448" s="212"/>
      <c r="R448" s="212"/>
      <c r="S448" s="212"/>
      <c r="T448" s="212"/>
      <c r="U448" s="212"/>
      <c r="V448" s="212"/>
      <c r="W448" s="212"/>
      <c r="X448" s="212"/>
      <c r="Y448" s="212"/>
      <c r="Z448" s="212"/>
      <c r="AA448" s="212"/>
      <c r="AB448" s="212"/>
      <c r="AC448" s="212"/>
      <c r="AD448" s="212"/>
      <c r="AE448" s="212"/>
      <c r="AF448" s="212"/>
      <c r="AG448" s="212"/>
      <c r="AH448" s="212"/>
      <c r="AI448" s="212"/>
      <c r="AJ448" s="212"/>
      <c r="AK448" s="212"/>
      <c r="AL448" s="212"/>
      <c r="AM448" s="212"/>
      <c r="AN448" s="212"/>
      <c r="AO448" s="212"/>
      <c r="AP448" s="212"/>
      <c r="AQ448" s="212"/>
      <c r="AR448" s="212"/>
    </row>
    <row r="449" spans="1:56" ht="26.25" customHeight="1" x14ac:dyDescent="0.3">
      <c r="A449" s="13" t="s">
        <v>341</v>
      </c>
      <c r="B449" s="69"/>
      <c r="E449" s="11"/>
      <c r="F449" s="3"/>
      <c r="J449" s="214"/>
      <c r="K449" s="212"/>
      <c r="L449" s="717" t="s">
        <v>1157</v>
      </c>
      <c r="M449" s="717"/>
      <c r="N449" s="717"/>
      <c r="O449" s="717"/>
      <c r="P449" s="717"/>
      <c r="Q449" s="717"/>
      <c r="R449" s="717"/>
      <c r="S449" s="717"/>
      <c r="T449" s="717"/>
      <c r="U449" s="717"/>
      <c r="V449" s="717"/>
      <c r="W449" s="717"/>
      <c r="X449" s="717"/>
      <c r="Y449" s="717"/>
      <c r="Z449" s="717"/>
      <c r="AA449" s="717"/>
      <c r="AB449" s="717"/>
      <c r="AC449" s="717"/>
      <c r="AD449" s="717"/>
      <c r="AE449" s="717"/>
      <c r="AF449" s="717"/>
      <c r="AG449" s="717"/>
      <c r="AH449" s="717"/>
      <c r="AI449" s="717"/>
      <c r="AJ449" s="717"/>
      <c r="AK449" s="717"/>
      <c r="AL449" s="717"/>
      <c r="AM449" s="717"/>
      <c r="AN449" s="717"/>
      <c r="AO449" s="717"/>
      <c r="AP449" s="717"/>
      <c r="AQ449" s="717"/>
      <c r="AR449" s="717"/>
      <c r="AU449" s="25"/>
    </row>
    <row r="450" spans="1:56" ht="4.5" customHeight="1" x14ac:dyDescent="0.3">
      <c r="A450" s="13"/>
      <c r="B450" s="69"/>
      <c r="E450" s="11"/>
      <c r="J450" s="214"/>
      <c r="K450" s="212"/>
      <c r="L450" s="212"/>
      <c r="M450" s="212"/>
      <c r="N450" s="212"/>
      <c r="O450" s="212"/>
      <c r="P450" s="212"/>
      <c r="Q450" s="212"/>
      <c r="R450" s="212"/>
      <c r="S450" s="212"/>
      <c r="T450" s="212"/>
      <c r="U450" s="212"/>
      <c r="V450" s="212"/>
      <c r="W450" s="212"/>
      <c r="X450" s="212"/>
      <c r="Y450" s="212"/>
      <c r="Z450" s="212"/>
      <c r="AA450" s="212"/>
      <c r="AB450" s="212"/>
      <c r="AC450" s="212"/>
      <c r="AD450" s="212"/>
      <c r="AE450" s="212"/>
      <c r="AF450" s="212"/>
      <c r="AG450" s="212"/>
      <c r="AH450" s="212"/>
      <c r="AI450" s="212"/>
      <c r="AJ450" s="212"/>
      <c r="AK450" s="212"/>
      <c r="AL450" s="212"/>
      <c r="AM450" s="212"/>
      <c r="AN450" s="212"/>
      <c r="AO450" s="212"/>
      <c r="AP450" s="212"/>
      <c r="AQ450" s="212"/>
      <c r="AR450" s="212"/>
    </row>
    <row r="451" spans="1:56" ht="26.25" customHeight="1" x14ac:dyDescent="0.3">
      <c r="A451" s="13" t="s">
        <v>342</v>
      </c>
      <c r="B451" s="69"/>
      <c r="C451" s="39"/>
      <c r="D451" s="39"/>
      <c r="E451" s="44"/>
      <c r="F451" s="39"/>
      <c r="G451" s="39"/>
      <c r="H451" s="39"/>
      <c r="I451" s="39"/>
      <c r="J451" s="218"/>
      <c r="K451" s="219"/>
      <c r="L451" s="717" t="s">
        <v>1158</v>
      </c>
      <c r="M451" s="717"/>
      <c r="N451" s="717"/>
      <c r="O451" s="717"/>
      <c r="P451" s="717"/>
      <c r="Q451" s="717"/>
      <c r="R451" s="717"/>
      <c r="S451" s="717"/>
      <c r="T451" s="717"/>
      <c r="U451" s="717"/>
      <c r="V451" s="717"/>
      <c r="W451" s="717"/>
      <c r="X451" s="717"/>
      <c r="Y451" s="717"/>
      <c r="Z451" s="717"/>
      <c r="AA451" s="717"/>
      <c r="AB451" s="717"/>
      <c r="AC451" s="717"/>
      <c r="AD451" s="717"/>
      <c r="AE451" s="717"/>
      <c r="AF451" s="717"/>
      <c r="AG451" s="717"/>
      <c r="AH451" s="717"/>
      <c r="AI451" s="717"/>
      <c r="AJ451" s="717"/>
      <c r="AK451" s="717"/>
      <c r="AL451" s="717"/>
      <c r="AM451" s="717"/>
      <c r="AN451" s="717"/>
      <c r="AO451" s="717"/>
      <c r="AP451" s="717"/>
      <c r="AQ451" s="717"/>
      <c r="AR451" s="717"/>
    </row>
    <row r="452" spans="1:56" ht="4.5" customHeight="1" x14ac:dyDescent="0.3">
      <c r="C452" s="31"/>
      <c r="D452" s="31"/>
      <c r="E452" s="32"/>
      <c r="F452" s="33"/>
      <c r="G452" s="31"/>
      <c r="H452" s="31"/>
      <c r="I452" s="31"/>
      <c r="J452" s="215"/>
      <c r="K452" s="216"/>
      <c r="L452" s="216"/>
      <c r="M452" s="216"/>
      <c r="N452" s="216"/>
      <c r="O452" s="216"/>
      <c r="P452" s="216"/>
      <c r="Q452" s="216"/>
      <c r="R452" s="216"/>
      <c r="S452" s="216"/>
      <c r="T452" s="216"/>
      <c r="U452" s="216"/>
      <c r="V452" s="216"/>
      <c r="W452" s="216"/>
      <c r="X452" s="216"/>
      <c r="Y452" s="216"/>
      <c r="Z452" s="216"/>
      <c r="AA452" s="216"/>
      <c r="AB452" s="216"/>
      <c r="AC452" s="216"/>
      <c r="AD452" s="216"/>
      <c r="AE452" s="216"/>
      <c r="AF452" s="216"/>
      <c r="AG452" s="216"/>
      <c r="AH452" s="216"/>
      <c r="AI452" s="216"/>
      <c r="AJ452" s="216"/>
      <c r="AK452" s="216"/>
      <c r="AL452" s="216"/>
      <c r="AM452" s="216"/>
      <c r="AN452" s="216"/>
      <c r="AO452" s="216"/>
      <c r="AP452" s="216"/>
      <c r="AQ452" s="216"/>
      <c r="AR452" s="216"/>
    </row>
    <row r="453" spans="1:56" x14ac:dyDescent="0.3">
      <c r="E453" s="11"/>
      <c r="F453" s="13" t="s">
        <v>700</v>
      </c>
      <c r="J453" s="706" t="str">
        <f>IF(calculations!M25,"describe corrective action proposed to correct any Red Flag or Yellow Flag ranking",IF(calculations!N25,"describe corrective action proposed to correct any Red Flag or Yellow Flag ranking","we changed the criteria"))</f>
        <v>we changed the criteria</v>
      </c>
      <c r="K453" s="707"/>
      <c r="L453" s="707"/>
      <c r="M453" s="707"/>
      <c r="N453" s="707"/>
      <c r="O453" s="707"/>
      <c r="P453" s="707"/>
      <c r="Q453" s="707"/>
      <c r="R453" s="707"/>
      <c r="S453" s="707"/>
      <c r="T453" s="707"/>
      <c r="U453" s="707"/>
      <c r="V453" s="707"/>
      <c r="W453" s="707"/>
      <c r="X453" s="707"/>
      <c r="Y453" s="707"/>
      <c r="Z453" s="707"/>
      <c r="AA453" s="707"/>
      <c r="AB453" s="707"/>
      <c r="AC453" s="707"/>
      <c r="AD453" s="707"/>
      <c r="AE453" s="707"/>
      <c r="AF453" s="707"/>
      <c r="AG453" s="707"/>
      <c r="AH453" s="707"/>
      <c r="AI453" s="707"/>
      <c r="AJ453" s="707"/>
      <c r="AK453" s="707"/>
      <c r="AL453" s="707"/>
      <c r="AM453" s="707"/>
      <c r="AN453" s="707"/>
      <c r="AO453" s="707"/>
      <c r="AP453" s="707"/>
      <c r="AQ453" s="707"/>
      <c r="AR453" s="708"/>
    </row>
    <row r="454" spans="1:56" ht="4.5" customHeight="1" x14ac:dyDescent="0.3">
      <c r="E454" s="11"/>
      <c r="G454" s="38"/>
      <c r="J454" s="214"/>
      <c r="K454" s="214"/>
      <c r="L454" s="214"/>
      <c r="M454" s="214"/>
      <c r="N454" s="214"/>
      <c r="O454" s="214"/>
      <c r="P454" s="214"/>
      <c r="Q454" s="214"/>
      <c r="R454" s="214"/>
      <c r="S454" s="214"/>
      <c r="T454" s="214"/>
      <c r="U454" s="214"/>
      <c r="V454" s="214"/>
      <c r="W454" s="214"/>
      <c r="X454" s="214"/>
      <c r="Y454" s="214"/>
      <c r="Z454" s="214"/>
      <c r="AA454" s="214"/>
      <c r="AB454" s="214"/>
      <c r="AC454" s="214"/>
      <c r="AD454" s="214"/>
      <c r="AE454" s="214"/>
      <c r="AF454" s="214"/>
      <c r="AG454" s="214"/>
      <c r="AH454" s="214"/>
      <c r="AI454" s="214"/>
      <c r="AJ454" s="214"/>
      <c r="AK454" s="214"/>
      <c r="AL454" s="214"/>
      <c r="AM454" s="214"/>
      <c r="AN454" s="214"/>
      <c r="AO454" s="214"/>
      <c r="AP454" s="214"/>
      <c r="AQ454" s="214"/>
      <c r="AR454" s="214"/>
    </row>
    <row r="455" spans="1:56" ht="51.75" customHeight="1" x14ac:dyDescent="0.3">
      <c r="E455" s="11"/>
      <c r="F455" s="55" t="str">
        <f>IF(J455&gt;"","REC",IF(calculations!M25,"REC",IF(calculations!N25,"REC","")))</f>
        <v/>
      </c>
      <c r="G455" s="38"/>
      <c r="J455" s="724" t="str">
        <f>IF(calculations!M25=TRUE,Rec!E44,IF(calculations!N25=TRUE,Rec!E45,""))</f>
        <v/>
      </c>
      <c r="K455" s="725"/>
      <c r="L455" s="725"/>
      <c r="M455" s="725"/>
      <c r="N455" s="725"/>
      <c r="O455" s="725"/>
      <c r="P455" s="725"/>
      <c r="Q455" s="725"/>
      <c r="R455" s="725"/>
      <c r="S455" s="725"/>
      <c r="T455" s="725"/>
      <c r="U455" s="725"/>
      <c r="V455" s="725"/>
      <c r="W455" s="725"/>
      <c r="X455" s="725"/>
      <c r="Y455" s="725"/>
      <c r="Z455" s="725"/>
      <c r="AA455" s="725"/>
      <c r="AB455" s="725"/>
      <c r="AC455" s="725"/>
      <c r="AD455" s="725"/>
      <c r="AE455" s="725"/>
      <c r="AF455" s="725"/>
      <c r="AG455" s="725"/>
      <c r="AH455" s="725"/>
      <c r="AI455" s="725"/>
      <c r="AJ455" s="725"/>
      <c r="AK455" s="725"/>
      <c r="AL455" s="725"/>
      <c r="AM455" s="725"/>
      <c r="AN455" s="725"/>
      <c r="AO455" s="725"/>
      <c r="AP455" s="725"/>
      <c r="AQ455" s="725"/>
      <c r="AR455" s="726"/>
    </row>
    <row r="456" spans="1:56" ht="13.5" customHeight="1" x14ac:dyDescent="0.3">
      <c r="E456" s="11"/>
      <c r="F456" s="37"/>
    </row>
    <row r="457" spans="1:56" ht="14.15" x14ac:dyDescent="0.35">
      <c r="A457" s="734">
        <v>2.12</v>
      </c>
      <c r="B457" s="734"/>
      <c r="D457" s="30" t="s">
        <v>174</v>
      </c>
      <c r="E457" s="11"/>
    </row>
    <row r="458" spans="1:56" ht="4.5" customHeight="1" x14ac:dyDescent="0.3">
      <c r="A458" s="13"/>
      <c r="B458" s="69"/>
      <c r="E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row>
    <row r="459" spans="1:56" ht="26.25" customHeight="1" x14ac:dyDescent="0.3">
      <c r="A459" s="13" t="s">
        <v>343</v>
      </c>
      <c r="B459" s="69"/>
      <c r="C459" s="31"/>
      <c r="D459" s="31"/>
      <c r="E459" s="32"/>
      <c r="F459" s="33"/>
      <c r="G459" s="31"/>
      <c r="H459" s="31"/>
      <c r="I459" s="31"/>
      <c r="J459" s="215"/>
      <c r="K459" s="212"/>
      <c r="L459" s="731" t="s">
        <v>1118</v>
      </c>
      <c r="M459" s="731"/>
      <c r="N459" s="731"/>
      <c r="O459" s="731"/>
      <c r="P459" s="731"/>
      <c r="Q459" s="731"/>
      <c r="R459" s="731"/>
      <c r="S459" s="731"/>
      <c r="T459" s="731"/>
      <c r="U459" s="731"/>
      <c r="V459" s="731"/>
      <c r="W459" s="731"/>
      <c r="X459" s="731"/>
      <c r="Y459" s="731"/>
      <c r="Z459" s="731"/>
      <c r="AA459" s="731"/>
      <c r="AB459" s="731"/>
      <c r="AC459" s="731"/>
      <c r="AD459" s="731"/>
      <c r="AE459" s="731"/>
      <c r="AF459" s="731"/>
      <c r="AG459" s="731"/>
      <c r="AH459" s="731"/>
      <c r="AI459" s="731"/>
      <c r="AJ459" s="731"/>
      <c r="AK459" s="731"/>
      <c r="AL459" s="731"/>
      <c r="AM459" s="731"/>
      <c r="AN459" s="731"/>
      <c r="AO459" s="731"/>
      <c r="AP459" s="731"/>
      <c r="AQ459" s="731"/>
      <c r="AR459" s="731"/>
    </row>
    <row r="460" spans="1:56" ht="4.5" customHeight="1" x14ac:dyDescent="0.3">
      <c r="A460" s="13"/>
      <c r="B460" s="69"/>
      <c r="C460" s="31"/>
      <c r="D460" s="31"/>
      <c r="E460" s="34"/>
      <c r="F460" s="31"/>
      <c r="G460" s="31"/>
      <c r="H460" s="31"/>
      <c r="I460" s="31"/>
      <c r="J460" s="215"/>
      <c r="K460" s="212"/>
      <c r="L460" s="212"/>
      <c r="M460" s="212"/>
      <c r="N460" s="212"/>
      <c r="O460" s="212"/>
      <c r="P460" s="212"/>
      <c r="Q460" s="212"/>
      <c r="R460" s="212"/>
      <c r="S460" s="212"/>
      <c r="T460" s="212"/>
      <c r="U460" s="212"/>
      <c r="V460" s="212"/>
      <c r="W460" s="212"/>
      <c r="X460" s="212"/>
      <c r="Y460" s="212"/>
      <c r="Z460" s="212"/>
      <c r="AA460" s="212"/>
      <c r="AB460" s="212"/>
      <c r="AC460" s="212"/>
      <c r="AD460" s="212"/>
      <c r="AE460" s="212"/>
      <c r="AF460" s="212"/>
      <c r="AG460" s="212"/>
      <c r="AH460" s="212"/>
      <c r="AI460" s="212"/>
      <c r="AJ460" s="212"/>
      <c r="AK460" s="212"/>
      <c r="AL460" s="212"/>
      <c r="AM460" s="212"/>
      <c r="AN460" s="212"/>
      <c r="AO460" s="212"/>
      <c r="AP460" s="212"/>
      <c r="AQ460" s="212"/>
      <c r="AR460" s="212"/>
    </row>
    <row r="461" spans="1:56" ht="98.25" customHeight="1" x14ac:dyDescent="0.3">
      <c r="A461" s="13" t="s">
        <v>344</v>
      </c>
      <c r="B461" s="69"/>
      <c r="C461" s="31"/>
      <c r="D461" s="31"/>
      <c r="E461" s="32"/>
      <c r="F461" s="33"/>
      <c r="G461" s="31"/>
      <c r="H461" s="31"/>
      <c r="I461" s="31"/>
      <c r="J461" s="215"/>
      <c r="K461" s="212"/>
      <c r="L461" s="717" t="str">
        <f>IF(calculations!B3=1,forms!A244,forms!A243)</f>
        <v>1) PLATINUM MEDAL with the branch aquatic director overseeing no other program areas (but can have some MOD responsibilities). 
2) The association has either an aquatic work group, council, or advisory committee. 
3) The following documentation is either posted or readily available for inspection: in-service schedule including topics to be covered, in-service attendance log, supplemental oxygen log, AED log. 
4) There is a tracking mechanism that monitors certification expiration and in-service attendance for all lifeguards.</v>
      </c>
      <c r="M461" s="717"/>
      <c r="N461" s="717"/>
      <c r="O461" s="717"/>
      <c r="P461" s="717"/>
      <c r="Q461" s="717"/>
      <c r="R461" s="717"/>
      <c r="S461" s="717"/>
      <c r="T461" s="717"/>
      <c r="U461" s="717"/>
      <c r="V461" s="717"/>
      <c r="W461" s="717"/>
      <c r="X461" s="717"/>
      <c r="Y461" s="717"/>
      <c r="Z461" s="717"/>
      <c r="AA461" s="717"/>
      <c r="AB461" s="717"/>
      <c r="AC461" s="717"/>
      <c r="AD461" s="717"/>
      <c r="AE461" s="717"/>
      <c r="AF461" s="717"/>
      <c r="AG461" s="717"/>
      <c r="AH461" s="717"/>
      <c r="AI461" s="717"/>
      <c r="AJ461" s="717"/>
      <c r="AK461" s="717"/>
      <c r="AL461" s="717"/>
      <c r="AM461" s="717"/>
      <c r="AN461" s="717"/>
      <c r="AO461" s="717"/>
      <c r="AP461" s="717"/>
      <c r="AQ461" s="717"/>
      <c r="AR461" s="717"/>
      <c r="BB461" s="39"/>
      <c r="BC461" s="39"/>
      <c r="BD461" s="39"/>
    </row>
    <row r="462" spans="1:56" ht="4.5" customHeight="1" x14ac:dyDescent="0.3">
      <c r="A462" s="13"/>
      <c r="B462" s="69"/>
      <c r="C462" s="31"/>
      <c r="D462" s="31"/>
      <c r="E462" s="32"/>
      <c r="F462" s="33"/>
      <c r="G462" s="31"/>
      <c r="H462" s="31"/>
      <c r="I462" s="31"/>
      <c r="J462" s="215"/>
      <c r="K462" s="212"/>
      <c r="L462" s="212"/>
      <c r="M462" s="212"/>
      <c r="N462" s="212"/>
      <c r="O462" s="212"/>
      <c r="P462" s="212"/>
      <c r="Q462" s="212"/>
      <c r="R462" s="212"/>
      <c r="S462" s="212"/>
      <c r="T462" s="212"/>
      <c r="U462" s="212"/>
      <c r="V462" s="212"/>
      <c r="W462" s="212"/>
      <c r="X462" s="212"/>
      <c r="Y462" s="212"/>
      <c r="Z462" s="212"/>
      <c r="AA462" s="212"/>
      <c r="AB462" s="212"/>
      <c r="AC462" s="212"/>
      <c r="AD462" s="212"/>
      <c r="AE462" s="212"/>
      <c r="AF462" s="212"/>
      <c r="AG462" s="212"/>
      <c r="AH462" s="212"/>
      <c r="AI462" s="212"/>
      <c r="AJ462" s="212"/>
      <c r="AK462" s="212"/>
      <c r="AL462" s="212"/>
      <c r="AM462" s="212"/>
      <c r="AN462" s="212"/>
      <c r="AO462" s="212"/>
      <c r="AP462" s="212"/>
      <c r="AQ462" s="212"/>
      <c r="AR462" s="212"/>
      <c r="BB462" s="39"/>
      <c r="BC462" s="39"/>
      <c r="BD462" s="39"/>
    </row>
    <row r="463" spans="1:56" ht="77.25" customHeight="1" x14ac:dyDescent="0.3">
      <c r="A463" s="13" t="s">
        <v>345</v>
      </c>
      <c r="B463" s="69"/>
      <c r="C463" s="31"/>
      <c r="D463" s="31"/>
      <c r="E463" s="34"/>
      <c r="F463" s="31"/>
      <c r="G463" s="31"/>
      <c r="H463" s="31"/>
      <c r="I463" s="31"/>
      <c r="J463" s="215"/>
      <c r="K463" s="212"/>
      <c r="L463" s="731" t="s">
        <v>1160</v>
      </c>
      <c r="M463" s="731"/>
      <c r="N463" s="731"/>
      <c r="O463" s="731"/>
      <c r="P463" s="731"/>
      <c r="Q463" s="731"/>
      <c r="R463" s="731"/>
      <c r="S463" s="731"/>
      <c r="T463" s="731"/>
      <c r="U463" s="731"/>
      <c r="V463" s="731"/>
      <c r="W463" s="731"/>
      <c r="X463" s="731"/>
      <c r="Y463" s="731"/>
      <c r="Z463" s="731"/>
      <c r="AA463" s="731"/>
      <c r="AB463" s="731"/>
      <c r="AC463" s="731"/>
      <c r="AD463" s="731"/>
      <c r="AE463" s="731"/>
      <c r="AF463" s="731"/>
      <c r="AG463" s="731"/>
      <c r="AH463" s="731"/>
      <c r="AI463" s="731"/>
      <c r="AJ463" s="731"/>
      <c r="AK463" s="731"/>
      <c r="AL463" s="731"/>
      <c r="AM463" s="731"/>
      <c r="AN463" s="731"/>
      <c r="AO463" s="731"/>
      <c r="AP463" s="731"/>
      <c r="AQ463" s="731"/>
      <c r="AR463" s="731"/>
      <c r="BB463" s="39"/>
      <c r="BC463" s="39"/>
      <c r="BD463" s="39"/>
    </row>
    <row r="464" spans="1:56" ht="4.5" customHeight="1" x14ac:dyDescent="0.3">
      <c r="A464" s="13"/>
      <c r="B464" s="69"/>
      <c r="C464" s="31"/>
      <c r="D464" s="31"/>
      <c r="E464" s="34"/>
      <c r="F464" s="31"/>
      <c r="G464" s="31"/>
      <c r="H464" s="31"/>
      <c r="I464" s="31"/>
      <c r="J464" s="215"/>
      <c r="K464" s="212"/>
      <c r="L464" s="212"/>
      <c r="M464" s="212"/>
      <c r="N464" s="212"/>
      <c r="O464" s="212"/>
      <c r="P464" s="212"/>
      <c r="Q464" s="212"/>
      <c r="R464" s="212"/>
      <c r="S464" s="212"/>
      <c r="T464" s="212"/>
      <c r="U464" s="212"/>
      <c r="V464" s="212"/>
      <c r="W464" s="212"/>
      <c r="X464" s="212"/>
      <c r="Y464" s="212"/>
      <c r="Z464" s="212"/>
      <c r="AA464" s="212"/>
      <c r="AB464" s="212"/>
      <c r="AC464" s="212"/>
      <c r="AD464" s="212"/>
      <c r="AE464" s="212"/>
      <c r="AF464" s="212"/>
      <c r="AG464" s="212"/>
      <c r="AH464" s="212"/>
      <c r="AI464" s="212"/>
      <c r="AJ464" s="212"/>
      <c r="AK464" s="212"/>
      <c r="AL464" s="212"/>
      <c r="AM464" s="212"/>
      <c r="AN464" s="212"/>
      <c r="AO464" s="212"/>
      <c r="AP464" s="212"/>
      <c r="AQ464" s="212"/>
      <c r="AR464" s="212"/>
    </row>
    <row r="465" spans="1:44" ht="39.75" customHeight="1" x14ac:dyDescent="0.3">
      <c r="A465" s="13" t="s">
        <v>346</v>
      </c>
      <c r="B465" s="69"/>
      <c r="C465" s="31"/>
      <c r="D465" s="31"/>
      <c r="E465" s="32"/>
      <c r="F465" s="33"/>
      <c r="G465" s="31"/>
      <c r="H465" s="31"/>
      <c r="I465" s="31"/>
      <c r="J465" s="215"/>
      <c r="K465" s="212"/>
      <c r="L465" s="717" t="s">
        <v>1161</v>
      </c>
      <c r="M465" s="717"/>
      <c r="N465" s="717"/>
      <c r="O465" s="717"/>
      <c r="P465" s="717"/>
      <c r="Q465" s="717"/>
      <c r="R465" s="717"/>
      <c r="S465" s="717"/>
      <c r="T465" s="717"/>
      <c r="U465" s="717"/>
      <c r="V465" s="717"/>
      <c r="W465" s="717"/>
      <c r="X465" s="717"/>
      <c r="Y465" s="717"/>
      <c r="Z465" s="717"/>
      <c r="AA465" s="717"/>
      <c r="AB465" s="717"/>
      <c r="AC465" s="717"/>
      <c r="AD465" s="717"/>
      <c r="AE465" s="717"/>
      <c r="AF465" s="717"/>
      <c r="AG465" s="717"/>
      <c r="AH465" s="717"/>
      <c r="AI465" s="717"/>
      <c r="AJ465" s="717"/>
      <c r="AK465" s="717"/>
      <c r="AL465" s="717"/>
      <c r="AM465" s="717"/>
      <c r="AN465" s="717"/>
      <c r="AO465" s="717"/>
      <c r="AP465" s="717"/>
      <c r="AQ465" s="717"/>
      <c r="AR465" s="717"/>
    </row>
    <row r="466" spans="1:44" ht="4.5" customHeight="1" x14ac:dyDescent="0.3">
      <c r="A466" s="13"/>
      <c r="B466" s="69"/>
      <c r="E466" s="35"/>
      <c r="J466" s="214"/>
      <c r="K466" s="212"/>
      <c r="L466" s="212"/>
      <c r="M466" s="212"/>
      <c r="N466" s="212"/>
      <c r="O466" s="212"/>
      <c r="P466" s="212"/>
      <c r="Q466" s="212"/>
      <c r="R466" s="212"/>
      <c r="S466" s="212"/>
      <c r="T466" s="212"/>
      <c r="U466" s="212"/>
      <c r="V466" s="212"/>
      <c r="W466" s="212"/>
      <c r="X466" s="212"/>
      <c r="Y466" s="212"/>
      <c r="Z466" s="212"/>
      <c r="AA466" s="212"/>
      <c r="AB466" s="212"/>
      <c r="AC466" s="212"/>
      <c r="AD466" s="212"/>
      <c r="AE466" s="212"/>
      <c r="AF466" s="212"/>
      <c r="AG466" s="212"/>
      <c r="AH466" s="212"/>
      <c r="AI466" s="212"/>
      <c r="AJ466" s="212"/>
      <c r="AK466" s="212"/>
      <c r="AL466" s="212"/>
      <c r="AM466" s="212"/>
      <c r="AN466" s="212"/>
      <c r="AO466" s="212"/>
      <c r="AP466" s="212"/>
      <c r="AQ466" s="212"/>
      <c r="AR466" s="212"/>
    </row>
    <row r="467" spans="1:44" ht="26.25" customHeight="1" x14ac:dyDescent="0.3">
      <c r="A467" s="13" t="s">
        <v>347</v>
      </c>
      <c r="B467" s="69"/>
      <c r="E467" s="11"/>
      <c r="F467" s="3"/>
      <c r="J467" s="214"/>
      <c r="K467" s="212"/>
      <c r="L467" s="717" t="s">
        <v>1162</v>
      </c>
      <c r="M467" s="717"/>
      <c r="N467" s="717"/>
      <c r="O467" s="717"/>
      <c r="P467" s="717"/>
      <c r="Q467" s="717"/>
      <c r="R467" s="717"/>
      <c r="S467" s="717"/>
      <c r="T467" s="717"/>
      <c r="U467" s="717"/>
      <c r="V467" s="717"/>
      <c r="W467" s="717"/>
      <c r="X467" s="717"/>
      <c r="Y467" s="717"/>
      <c r="Z467" s="717"/>
      <c r="AA467" s="717"/>
      <c r="AB467" s="717"/>
      <c r="AC467" s="717"/>
      <c r="AD467" s="717"/>
      <c r="AE467" s="717"/>
      <c r="AF467" s="717"/>
      <c r="AG467" s="717"/>
      <c r="AH467" s="717"/>
      <c r="AI467" s="717"/>
      <c r="AJ467" s="717"/>
      <c r="AK467" s="717"/>
      <c r="AL467" s="717"/>
      <c r="AM467" s="717"/>
      <c r="AN467" s="717"/>
      <c r="AO467" s="717"/>
      <c r="AP467" s="717"/>
      <c r="AQ467" s="717"/>
      <c r="AR467" s="717"/>
    </row>
    <row r="468" spans="1:44" ht="4.5" customHeight="1" x14ac:dyDescent="0.3">
      <c r="A468" s="13"/>
      <c r="B468" s="69"/>
      <c r="E468" s="11"/>
      <c r="J468" s="214"/>
      <c r="K468" s="212"/>
      <c r="L468" s="212"/>
      <c r="M468" s="212"/>
      <c r="N468" s="212"/>
      <c r="O468" s="212"/>
      <c r="P468" s="212"/>
      <c r="Q468" s="212"/>
      <c r="R468" s="212"/>
      <c r="S468" s="212"/>
      <c r="T468" s="212"/>
      <c r="U468" s="212"/>
      <c r="V468" s="212"/>
      <c r="W468" s="212"/>
      <c r="X468" s="212"/>
      <c r="Y468" s="212"/>
      <c r="Z468" s="212"/>
      <c r="AA468" s="212"/>
      <c r="AB468" s="212"/>
      <c r="AC468" s="212"/>
      <c r="AD468" s="212"/>
      <c r="AE468" s="212"/>
      <c r="AF468" s="212"/>
      <c r="AG468" s="212"/>
      <c r="AH468" s="212"/>
      <c r="AI468" s="212"/>
      <c r="AJ468" s="212"/>
      <c r="AK468" s="212"/>
      <c r="AL468" s="212"/>
      <c r="AM468" s="212"/>
      <c r="AN468" s="212"/>
      <c r="AO468" s="212"/>
      <c r="AP468" s="212"/>
      <c r="AQ468" s="212"/>
      <c r="AR468" s="212"/>
    </row>
    <row r="469" spans="1:44" ht="13.5" customHeight="1" x14ac:dyDescent="0.3">
      <c r="A469" s="13" t="s">
        <v>348</v>
      </c>
      <c r="B469" s="69"/>
      <c r="C469" s="39"/>
      <c r="D469" s="39"/>
      <c r="E469" s="44"/>
      <c r="F469" s="39"/>
      <c r="G469" s="39"/>
      <c r="H469" s="39"/>
      <c r="I469" s="39"/>
      <c r="J469" s="218"/>
      <c r="K469" s="219"/>
      <c r="L469" s="717" t="s">
        <v>1163</v>
      </c>
      <c r="M469" s="717"/>
      <c r="N469" s="717"/>
      <c r="O469" s="717"/>
      <c r="P469" s="717"/>
      <c r="Q469" s="717"/>
      <c r="R469" s="717"/>
      <c r="S469" s="717"/>
      <c r="T469" s="717"/>
      <c r="U469" s="717"/>
      <c r="V469" s="717"/>
      <c r="W469" s="717"/>
      <c r="X469" s="717"/>
      <c r="Y469" s="717"/>
      <c r="Z469" s="717"/>
      <c r="AA469" s="717"/>
      <c r="AB469" s="717"/>
      <c r="AC469" s="717"/>
      <c r="AD469" s="717"/>
      <c r="AE469" s="717"/>
      <c r="AF469" s="717"/>
      <c r="AG469" s="717"/>
      <c r="AH469" s="717"/>
      <c r="AI469" s="717"/>
      <c r="AJ469" s="717"/>
      <c r="AK469" s="717"/>
      <c r="AL469" s="717"/>
      <c r="AM469" s="717"/>
      <c r="AN469" s="717"/>
      <c r="AO469" s="717"/>
      <c r="AP469" s="717"/>
      <c r="AQ469" s="717"/>
      <c r="AR469" s="717"/>
    </row>
    <row r="470" spans="1:44" ht="4.5" customHeight="1" x14ac:dyDescent="0.3">
      <c r="C470" s="31"/>
      <c r="D470" s="31"/>
      <c r="E470" s="32"/>
      <c r="F470" s="33"/>
      <c r="G470" s="31"/>
      <c r="H470" s="31"/>
      <c r="I470" s="31"/>
      <c r="J470" s="215"/>
      <c r="K470" s="216"/>
      <c r="L470" s="216"/>
      <c r="M470" s="216"/>
      <c r="N470" s="216"/>
      <c r="O470" s="216"/>
      <c r="P470" s="216"/>
      <c r="Q470" s="216"/>
      <c r="R470" s="216"/>
      <c r="S470" s="216"/>
      <c r="T470" s="216"/>
      <c r="U470" s="216"/>
      <c r="V470" s="216"/>
      <c r="W470" s="216"/>
      <c r="X470" s="216"/>
      <c r="Y470" s="216"/>
      <c r="Z470" s="216"/>
      <c r="AA470" s="216"/>
      <c r="AB470" s="216"/>
      <c r="AC470" s="216"/>
      <c r="AD470" s="216"/>
      <c r="AE470" s="216"/>
      <c r="AF470" s="216"/>
      <c r="AG470" s="216"/>
      <c r="AH470" s="216"/>
      <c r="AI470" s="216"/>
      <c r="AJ470" s="216"/>
      <c r="AK470" s="216"/>
      <c r="AL470" s="216"/>
      <c r="AM470" s="216"/>
      <c r="AN470" s="216"/>
      <c r="AO470" s="216"/>
      <c r="AP470" s="216"/>
      <c r="AQ470" s="216"/>
      <c r="AR470" s="216"/>
    </row>
    <row r="471" spans="1:44" x14ac:dyDescent="0.3">
      <c r="E471" s="11"/>
      <c r="F471" s="13" t="s">
        <v>700</v>
      </c>
      <c r="J471" s="706" t="str">
        <f>IF(calculations!M26,"describe corrective action proposed to correct any Red Flag or Yellow Flag ranking",IF(calculations!N26,"describe corrective action proposed to correct any Red Flag or Yellow Flag ranking","we changed the criteria"))</f>
        <v>we changed the criteria</v>
      </c>
      <c r="K471" s="707"/>
      <c r="L471" s="707"/>
      <c r="M471" s="707"/>
      <c r="N471" s="707"/>
      <c r="O471" s="707"/>
      <c r="P471" s="707"/>
      <c r="Q471" s="707"/>
      <c r="R471" s="707"/>
      <c r="S471" s="707"/>
      <c r="T471" s="707"/>
      <c r="U471" s="707"/>
      <c r="V471" s="707"/>
      <c r="W471" s="707"/>
      <c r="X471" s="707"/>
      <c r="Y471" s="707"/>
      <c r="Z471" s="707"/>
      <c r="AA471" s="707"/>
      <c r="AB471" s="707"/>
      <c r="AC471" s="707"/>
      <c r="AD471" s="707"/>
      <c r="AE471" s="707"/>
      <c r="AF471" s="707"/>
      <c r="AG471" s="707"/>
      <c r="AH471" s="707"/>
      <c r="AI471" s="707"/>
      <c r="AJ471" s="707"/>
      <c r="AK471" s="707"/>
      <c r="AL471" s="707"/>
      <c r="AM471" s="707"/>
      <c r="AN471" s="707"/>
      <c r="AO471" s="707"/>
      <c r="AP471" s="707"/>
      <c r="AQ471" s="707"/>
      <c r="AR471" s="708"/>
    </row>
    <row r="472" spans="1:44" ht="4.5" customHeight="1" x14ac:dyDescent="0.3">
      <c r="E472" s="11"/>
      <c r="J472" s="214"/>
      <c r="K472" s="214"/>
      <c r="L472" s="214"/>
      <c r="M472" s="214"/>
      <c r="N472" s="214"/>
      <c r="O472" s="214"/>
      <c r="P472" s="214"/>
      <c r="Q472" s="214"/>
      <c r="R472" s="214"/>
      <c r="S472" s="214"/>
      <c r="T472" s="214"/>
      <c r="U472" s="214"/>
      <c r="V472" s="214"/>
      <c r="W472" s="214"/>
      <c r="X472" s="214"/>
      <c r="Y472" s="214"/>
      <c r="Z472" s="214"/>
      <c r="AA472" s="214"/>
      <c r="AB472" s="214"/>
      <c r="AC472" s="214"/>
      <c r="AD472" s="214"/>
      <c r="AE472" s="214"/>
      <c r="AF472" s="214"/>
      <c r="AG472" s="214"/>
      <c r="AH472" s="214"/>
      <c r="AI472" s="214"/>
      <c r="AJ472" s="214"/>
      <c r="AK472" s="214"/>
      <c r="AL472" s="214"/>
      <c r="AM472" s="214"/>
      <c r="AN472" s="214"/>
      <c r="AO472" s="214"/>
      <c r="AP472" s="214"/>
      <c r="AQ472" s="214"/>
      <c r="AR472" s="214"/>
    </row>
    <row r="473" spans="1:44" ht="51.75" customHeight="1" x14ac:dyDescent="0.3">
      <c r="E473" s="11"/>
      <c r="F473" s="55" t="str">
        <f>IF(J473&gt;"","REC",IF(calculations!M26,"REC",IF(calculations!N26,"REC","")))</f>
        <v/>
      </c>
      <c r="G473" s="38"/>
      <c r="J473" s="724" t="str">
        <f>IF(calculations!M26=TRUE,Rec!E46,IF(calculations!N26=TRUE,Rec!E47,""))</f>
        <v/>
      </c>
      <c r="K473" s="725"/>
      <c r="L473" s="725"/>
      <c r="M473" s="725"/>
      <c r="N473" s="725"/>
      <c r="O473" s="725"/>
      <c r="P473" s="725"/>
      <c r="Q473" s="725"/>
      <c r="R473" s="725"/>
      <c r="S473" s="725"/>
      <c r="T473" s="725"/>
      <c r="U473" s="725"/>
      <c r="V473" s="725"/>
      <c r="W473" s="725"/>
      <c r="X473" s="725"/>
      <c r="Y473" s="725"/>
      <c r="Z473" s="725"/>
      <c r="AA473" s="725"/>
      <c r="AB473" s="725"/>
      <c r="AC473" s="725"/>
      <c r="AD473" s="725"/>
      <c r="AE473" s="725"/>
      <c r="AF473" s="725"/>
      <c r="AG473" s="725"/>
      <c r="AH473" s="725"/>
      <c r="AI473" s="725"/>
      <c r="AJ473" s="725"/>
      <c r="AK473" s="725"/>
      <c r="AL473" s="725"/>
      <c r="AM473" s="725"/>
      <c r="AN473" s="725"/>
      <c r="AO473" s="725"/>
      <c r="AP473" s="725"/>
      <c r="AQ473" s="725"/>
      <c r="AR473" s="726"/>
    </row>
    <row r="474" spans="1:44" ht="13.5" customHeight="1" x14ac:dyDescent="0.3">
      <c r="E474" s="11"/>
      <c r="F474" s="37"/>
    </row>
    <row r="475" spans="1:44" ht="14.25" customHeight="1" x14ac:dyDescent="0.35">
      <c r="A475" s="734">
        <v>2.13</v>
      </c>
      <c r="B475" s="734"/>
      <c r="D475" s="30" t="s">
        <v>395</v>
      </c>
      <c r="E475" s="11"/>
    </row>
    <row r="476" spans="1:44" ht="4.5" customHeight="1" x14ac:dyDescent="0.3">
      <c r="A476" s="13"/>
      <c r="B476" s="69"/>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row>
    <row r="477" spans="1:44" ht="24.75" customHeight="1" x14ac:dyDescent="0.3">
      <c r="A477" s="13" t="s">
        <v>349</v>
      </c>
      <c r="B477" s="69"/>
      <c r="C477" s="34"/>
      <c r="D477" s="34"/>
      <c r="E477" s="32"/>
      <c r="F477" s="84"/>
      <c r="G477" s="34"/>
      <c r="H477" s="34"/>
      <c r="I477" s="34"/>
      <c r="J477" s="228"/>
      <c r="K477" s="212"/>
      <c r="L477" s="212"/>
      <c r="M477" s="212"/>
      <c r="N477" s="212"/>
      <c r="O477" s="717" t="str">
        <f>IF(calculations!B3=1,"The JCC has installed ultra-violet (UV) sanitation systems in their pools to reduce the potential for recreational water illness (RWI) from cryptosporidium outbreaks.","The YMCA has installed ultra-violet (UV) sanitation systems in their pools to reduce the potential for recreational water illness (RWI) from cryptosporidium outbreaks.")</f>
        <v>The YMCA has installed ultra-violet (UV) sanitation systems in their pools to reduce the potential for recreational water illness (RWI) from cryptosporidium outbreaks.</v>
      </c>
      <c r="P477" s="717"/>
      <c r="Q477" s="717"/>
      <c r="R477" s="717"/>
      <c r="S477" s="717"/>
      <c r="T477" s="717"/>
      <c r="U477" s="717"/>
      <c r="V477" s="717"/>
      <c r="W477" s="717"/>
      <c r="X477" s="717"/>
      <c r="Y477" s="717"/>
      <c r="Z477" s="717"/>
      <c r="AA477" s="717"/>
      <c r="AB477" s="717"/>
      <c r="AC477" s="717"/>
      <c r="AD477" s="717"/>
      <c r="AE477" s="717"/>
      <c r="AF477" s="717"/>
      <c r="AG477" s="717"/>
      <c r="AH477" s="717"/>
      <c r="AI477" s="717"/>
      <c r="AJ477" s="717"/>
      <c r="AK477" s="717"/>
      <c r="AL477" s="717"/>
      <c r="AM477" s="717"/>
      <c r="AN477" s="717"/>
      <c r="AO477" s="717"/>
      <c r="AP477" s="717"/>
      <c r="AQ477" s="717"/>
      <c r="AR477" s="717"/>
    </row>
    <row r="478" spans="1:44" ht="4.5" customHeight="1" x14ac:dyDescent="0.3">
      <c r="A478" s="13"/>
      <c r="B478" s="69"/>
      <c r="C478" s="34"/>
      <c r="D478" s="34"/>
      <c r="E478" s="34"/>
      <c r="F478" s="34"/>
      <c r="G478" s="34"/>
      <c r="H478" s="34"/>
      <c r="I478" s="34"/>
      <c r="J478" s="228"/>
      <c r="K478" s="212"/>
      <c r="L478" s="212"/>
      <c r="M478" s="212"/>
      <c r="N478" s="212"/>
      <c r="O478" s="212"/>
      <c r="P478" s="212"/>
      <c r="Q478" s="212"/>
      <c r="R478" s="212"/>
      <c r="S478" s="212"/>
      <c r="T478" s="212"/>
      <c r="U478" s="212"/>
      <c r="V478" s="212"/>
      <c r="W478" s="212"/>
      <c r="X478" s="212"/>
      <c r="Y478" s="212"/>
      <c r="Z478" s="212"/>
      <c r="AA478" s="212"/>
      <c r="AB478" s="212"/>
      <c r="AC478" s="212"/>
      <c r="AD478" s="212"/>
      <c r="AE478" s="212"/>
      <c r="AF478" s="212"/>
      <c r="AG478" s="212"/>
      <c r="AH478" s="212"/>
      <c r="AI478" s="212"/>
      <c r="AJ478" s="212"/>
      <c r="AK478" s="212"/>
      <c r="AL478" s="212"/>
      <c r="AM478" s="212"/>
      <c r="AN478" s="212"/>
      <c r="AO478" s="212"/>
      <c r="AP478" s="212"/>
      <c r="AQ478" s="212"/>
      <c r="AR478" s="212"/>
    </row>
    <row r="479" spans="1:44" ht="51.75" customHeight="1" x14ac:dyDescent="0.3">
      <c r="A479" s="13" t="s">
        <v>350</v>
      </c>
      <c r="B479" s="69"/>
      <c r="C479" s="34"/>
      <c r="D479" s="34"/>
      <c r="E479" s="32"/>
      <c r="F479" s="84"/>
      <c r="G479" s="34"/>
      <c r="H479" s="34"/>
      <c r="I479" s="34"/>
      <c r="J479" s="228"/>
      <c r="K479" s="212"/>
      <c r="L479" s="212"/>
      <c r="M479" s="212"/>
      <c r="N479" s="212"/>
      <c r="O479" s="717" t="s">
        <v>1979</v>
      </c>
      <c r="P479" s="717"/>
      <c r="Q479" s="717"/>
      <c r="R479" s="717"/>
      <c r="S479" s="717"/>
      <c r="T479" s="717"/>
      <c r="U479" s="717"/>
      <c r="V479" s="717"/>
      <c r="W479" s="717"/>
      <c r="X479" s="717"/>
      <c r="Y479" s="717"/>
      <c r="Z479" s="717"/>
      <c r="AA479" s="717"/>
      <c r="AB479" s="717"/>
      <c r="AC479" s="717"/>
      <c r="AD479" s="717"/>
      <c r="AE479" s="717"/>
      <c r="AF479" s="717"/>
      <c r="AG479" s="717"/>
      <c r="AH479" s="717"/>
      <c r="AI479" s="717"/>
      <c r="AJ479" s="717"/>
      <c r="AK479" s="717"/>
      <c r="AL479" s="717"/>
      <c r="AM479" s="717"/>
      <c r="AN479" s="717"/>
      <c r="AO479" s="717"/>
      <c r="AP479" s="717"/>
      <c r="AQ479" s="717"/>
      <c r="AR479" s="717"/>
    </row>
    <row r="480" spans="1:44" ht="4.5" customHeight="1" x14ac:dyDescent="0.3">
      <c r="A480" s="13"/>
      <c r="B480" s="69"/>
      <c r="C480" s="34"/>
      <c r="D480" s="34"/>
      <c r="E480" s="32"/>
      <c r="F480" s="84"/>
      <c r="G480" s="34"/>
      <c r="H480" s="34"/>
      <c r="I480" s="34"/>
      <c r="J480" s="228"/>
      <c r="K480" s="212"/>
      <c r="L480" s="213"/>
      <c r="M480" s="213"/>
      <c r="N480" s="213"/>
      <c r="O480" s="213"/>
      <c r="P480" s="213"/>
      <c r="Q480" s="213"/>
      <c r="R480" s="213"/>
      <c r="S480" s="213"/>
      <c r="T480" s="213"/>
      <c r="U480" s="213"/>
      <c r="V480" s="213"/>
      <c r="W480" s="213"/>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52" ht="24.75" customHeight="1" x14ac:dyDescent="0.3">
      <c r="A481" s="13" t="s">
        <v>351</v>
      </c>
      <c r="B481" s="69"/>
      <c r="C481" s="34"/>
      <c r="D481" s="34"/>
      <c r="E481" s="34"/>
      <c r="F481" s="34"/>
      <c r="G481" s="34"/>
      <c r="H481" s="34"/>
      <c r="I481" s="34"/>
      <c r="J481" s="228"/>
      <c r="K481" s="212"/>
      <c r="L481" s="212"/>
      <c r="M481" s="212"/>
      <c r="N481" s="212"/>
      <c r="O481" s="717" t="str">
        <f>IF(calculations!B3=1,"The JCC collaborates with other entities in doing frequent documented Aquatic Checks or aquatic audits of each other’s managed bodies of water.","The YMCA collaborates with other entities in doing frequent documented Aquatic Checks or aquatic audits of each other’s managed bodies of water.")</f>
        <v>The YMCA collaborates with other entities in doing frequent documented Aquatic Checks or aquatic audits of each other’s managed bodies of water.</v>
      </c>
      <c r="P481" s="717"/>
      <c r="Q481" s="717"/>
      <c r="R481" s="717"/>
      <c r="S481" s="717"/>
      <c r="T481" s="717"/>
      <c r="U481" s="717"/>
      <c r="V481" s="717"/>
      <c r="W481" s="717"/>
      <c r="X481" s="717"/>
      <c r="Y481" s="717"/>
      <c r="Z481" s="717"/>
      <c r="AA481" s="717"/>
      <c r="AB481" s="717"/>
      <c r="AC481" s="717"/>
      <c r="AD481" s="717"/>
      <c r="AE481" s="717"/>
      <c r="AF481" s="717"/>
      <c r="AG481" s="717"/>
      <c r="AH481" s="717"/>
      <c r="AI481" s="717"/>
      <c r="AJ481" s="717"/>
      <c r="AK481" s="717"/>
      <c r="AL481" s="717"/>
      <c r="AM481" s="717"/>
      <c r="AN481" s="717"/>
      <c r="AO481" s="717"/>
      <c r="AP481" s="717"/>
      <c r="AQ481" s="717"/>
      <c r="AR481" s="717"/>
    </row>
    <row r="482" spans="1:52" ht="6.75" customHeight="1" x14ac:dyDescent="0.3">
      <c r="A482" s="13"/>
      <c r="B482" s="69"/>
      <c r="C482" s="34"/>
      <c r="D482" s="34"/>
      <c r="E482" s="34"/>
      <c r="F482" s="34"/>
      <c r="G482" s="34"/>
      <c r="H482" s="34"/>
      <c r="I482" s="34"/>
      <c r="J482" s="228"/>
      <c r="K482" s="212"/>
      <c r="L482" s="213"/>
      <c r="M482" s="213"/>
      <c r="N482" s="213"/>
      <c r="O482" s="213"/>
      <c r="P482" s="213"/>
      <c r="Q482" s="213"/>
      <c r="R482" s="213"/>
      <c r="S482" s="213"/>
      <c r="T482" s="213"/>
      <c r="U482" s="213"/>
      <c r="V482" s="213"/>
      <c r="W482" s="213"/>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52" ht="15" customHeight="1" x14ac:dyDescent="0.3">
      <c r="A483" s="13" t="s">
        <v>352</v>
      </c>
      <c r="B483" s="69"/>
      <c r="C483" s="34"/>
      <c r="D483" s="34"/>
      <c r="E483" s="32"/>
      <c r="F483" s="84"/>
      <c r="G483" s="34"/>
      <c r="H483" s="34"/>
      <c r="I483" s="34"/>
      <c r="J483" s="228"/>
      <c r="K483" s="212"/>
      <c r="L483" s="212"/>
      <c r="M483" s="212"/>
      <c r="N483" s="212"/>
      <c r="O483" s="727" t="s">
        <v>1164</v>
      </c>
      <c r="P483" s="727"/>
      <c r="Q483" s="727"/>
      <c r="R483" s="727"/>
      <c r="S483" s="727"/>
      <c r="T483" s="727"/>
      <c r="U483" s="727"/>
      <c r="V483" s="727"/>
      <c r="W483" s="727"/>
      <c r="X483" s="727"/>
      <c r="Y483" s="727"/>
      <c r="Z483" s="727"/>
      <c r="AA483" s="727"/>
      <c r="AB483" s="727"/>
      <c r="AC483" s="727"/>
      <c r="AD483" s="727"/>
      <c r="AE483" s="727"/>
      <c r="AF483" s="727"/>
      <c r="AG483" s="727"/>
      <c r="AH483" s="727"/>
      <c r="AI483" s="727"/>
      <c r="AJ483" s="727"/>
      <c r="AK483" s="727"/>
      <c r="AL483" s="727"/>
      <c r="AM483" s="727"/>
      <c r="AN483" s="727"/>
      <c r="AO483" s="727"/>
      <c r="AP483" s="727"/>
      <c r="AQ483" s="727"/>
      <c r="AR483" s="727"/>
    </row>
    <row r="484" spans="1:52" ht="4.5" customHeight="1" x14ac:dyDescent="0.3">
      <c r="A484" s="13"/>
      <c r="B484" s="69"/>
      <c r="C484" s="11"/>
      <c r="D484" s="11"/>
      <c r="E484" s="35"/>
      <c r="F484" s="11"/>
      <c r="G484" s="11"/>
      <c r="H484" s="11"/>
      <c r="I484" s="11"/>
      <c r="J484" s="212"/>
      <c r="K484" s="212"/>
      <c r="L484" s="213"/>
      <c r="M484" s="213"/>
      <c r="N484" s="213"/>
      <c r="O484" s="213"/>
      <c r="P484" s="213"/>
      <c r="Q484" s="213"/>
      <c r="R484" s="213"/>
      <c r="S484" s="213"/>
      <c r="T484" s="213"/>
      <c r="U484" s="213"/>
      <c r="V484" s="213"/>
      <c r="W484" s="213"/>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52" ht="51.75" customHeight="1" x14ac:dyDescent="0.3">
      <c r="A485" s="13" t="s">
        <v>353</v>
      </c>
      <c r="B485" s="69"/>
      <c r="C485" s="11"/>
      <c r="D485" s="11"/>
      <c r="E485" s="11"/>
      <c r="F485" s="85"/>
      <c r="G485" s="11"/>
      <c r="H485" s="11"/>
      <c r="I485" s="11"/>
      <c r="J485" s="212"/>
      <c r="K485" s="212"/>
      <c r="L485" s="212"/>
      <c r="M485" s="212"/>
      <c r="N485" s="212"/>
      <c r="O485" s="731" t="str">
        <f>IF(calculations!B3=1,forms!A246,forms!A245)</f>
        <v>An aquatic training session that focuses on effective scanning techniques and lifeguard vigilance conducted by The Redwoods Group (or approved by TRG's aquatic specialist) is held, hosted, or attended by the association’s lifeguards, aquatics directors, and executive staff.</v>
      </c>
      <c r="P485" s="731"/>
      <c r="Q485" s="731"/>
      <c r="R485" s="731"/>
      <c r="S485" s="731"/>
      <c r="T485" s="731"/>
      <c r="U485" s="731"/>
      <c r="V485" s="731"/>
      <c r="W485" s="731"/>
      <c r="X485" s="731"/>
      <c r="Y485" s="731"/>
      <c r="Z485" s="731"/>
      <c r="AA485" s="731"/>
      <c r="AB485" s="731"/>
      <c r="AC485" s="731"/>
      <c r="AD485" s="731"/>
      <c r="AE485" s="731"/>
      <c r="AF485" s="731"/>
      <c r="AG485" s="731"/>
      <c r="AH485" s="731"/>
      <c r="AI485" s="731"/>
      <c r="AJ485" s="731"/>
      <c r="AK485" s="731"/>
      <c r="AL485" s="731"/>
      <c r="AM485" s="731"/>
      <c r="AN485" s="731"/>
      <c r="AO485" s="731"/>
      <c r="AP485" s="731"/>
      <c r="AQ485" s="731"/>
      <c r="AR485" s="731"/>
    </row>
    <row r="486" spans="1:52" ht="4.5" customHeight="1" x14ac:dyDescent="0.3">
      <c r="A486" s="13"/>
      <c r="B486" s="69"/>
      <c r="C486" s="11"/>
      <c r="D486" s="11"/>
      <c r="E486" s="11"/>
      <c r="F486" s="11"/>
      <c r="G486" s="11"/>
      <c r="H486" s="11"/>
      <c r="I486" s="11"/>
      <c r="J486" s="212"/>
      <c r="K486" s="212"/>
      <c r="L486" s="213"/>
      <c r="M486" s="213"/>
      <c r="N486" s="213"/>
      <c r="O486" s="213"/>
      <c r="P486" s="213"/>
      <c r="Q486" s="213"/>
      <c r="R486" s="213"/>
      <c r="S486" s="213"/>
      <c r="T486" s="213"/>
      <c r="U486" s="213"/>
      <c r="V486" s="213"/>
      <c r="W486" s="213"/>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52" ht="29.25" customHeight="1" x14ac:dyDescent="0.3">
      <c r="A487" s="13" t="s">
        <v>354</v>
      </c>
      <c r="B487" s="69"/>
      <c r="C487" s="44"/>
      <c r="D487" s="44"/>
      <c r="E487" s="44"/>
      <c r="F487" s="44"/>
      <c r="G487" s="44"/>
      <c r="H487" s="44"/>
      <c r="I487" s="44"/>
      <c r="J487" s="219"/>
      <c r="K487" s="219"/>
      <c r="L487" s="213"/>
      <c r="M487" s="213"/>
      <c r="N487" s="213"/>
      <c r="O487" s="717" t="str">
        <f>IF(calculations!B3=1,"The JCC participates in the DROP program and has documented response times for each lifeguard on a monthly basis.","The YMCA participates in the DROP program and has documented response times for each lifeguard on a monthly basis.")</f>
        <v>The YMCA participates in the DROP program and has documented response times for each lifeguard on a monthly basis.</v>
      </c>
      <c r="P487" s="717"/>
      <c r="Q487" s="717"/>
      <c r="R487" s="717"/>
      <c r="S487" s="717"/>
      <c r="T487" s="717"/>
      <c r="U487" s="717"/>
      <c r="V487" s="717"/>
      <c r="W487" s="717"/>
      <c r="X487" s="717"/>
      <c r="Y487" s="717"/>
      <c r="Z487" s="717"/>
      <c r="AA487" s="717"/>
      <c r="AB487" s="717"/>
      <c r="AC487" s="717"/>
      <c r="AD487" s="717"/>
      <c r="AE487" s="717"/>
      <c r="AF487" s="717"/>
      <c r="AG487" s="717"/>
      <c r="AH487" s="717"/>
      <c r="AI487" s="717"/>
      <c r="AJ487" s="717"/>
      <c r="AK487" s="717"/>
      <c r="AL487" s="717"/>
      <c r="AM487" s="717"/>
      <c r="AN487" s="717"/>
      <c r="AO487" s="717"/>
      <c r="AP487" s="717"/>
      <c r="AQ487" s="717"/>
      <c r="AR487" s="717"/>
    </row>
    <row r="488" spans="1:52" ht="4.5" customHeight="1" x14ac:dyDescent="0.3">
      <c r="A488" s="13"/>
      <c r="B488" s="69"/>
      <c r="C488" s="44"/>
      <c r="D488" s="44"/>
      <c r="E488" s="44"/>
      <c r="F488" s="44"/>
      <c r="G488" s="44"/>
      <c r="H488" s="44"/>
      <c r="I488" s="44"/>
      <c r="J488" s="219"/>
      <c r="K488" s="219"/>
      <c r="L488" s="213"/>
      <c r="M488" s="213"/>
      <c r="N488" s="213"/>
      <c r="O488" s="339"/>
      <c r="P488" s="339"/>
      <c r="Q488" s="339"/>
      <c r="R488" s="339"/>
      <c r="S488" s="339"/>
      <c r="T488" s="339"/>
      <c r="U488" s="339"/>
      <c r="V488" s="339"/>
      <c r="W488" s="339"/>
      <c r="X488" s="339"/>
      <c r="Y488" s="339"/>
      <c r="Z488" s="339"/>
      <c r="AA488" s="339"/>
      <c r="AB488" s="339"/>
      <c r="AC488" s="339"/>
      <c r="AD488" s="339"/>
      <c r="AE488" s="339"/>
      <c r="AF488" s="339"/>
      <c r="AG488" s="339"/>
      <c r="AH488" s="339"/>
      <c r="AI488" s="339"/>
      <c r="AJ488" s="339"/>
      <c r="AK488" s="339"/>
      <c r="AL488" s="339"/>
      <c r="AM488" s="339"/>
      <c r="AN488" s="339"/>
      <c r="AO488" s="339"/>
      <c r="AP488" s="339"/>
      <c r="AQ488" s="339"/>
      <c r="AR488" s="339"/>
    </row>
    <row r="489" spans="1:52" ht="15" customHeight="1" x14ac:dyDescent="0.3">
      <c r="A489" s="13" t="s">
        <v>1832</v>
      </c>
      <c r="B489" s="69"/>
      <c r="C489" s="44"/>
      <c r="D489" s="44"/>
      <c r="E489" s="44"/>
      <c r="F489" s="44"/>
      <c r="G489" s="44"/>
      <c r="H489" s="44"/>
      <c r="I489" s="44"/>
      <c r="J489" s="219"/>
      <c r="K489" s="219"/>
      <c r="L489" s="213"/>
      <c r="M489" s="213"/>
      <c r="N489" s="213"/>
      <c r="O489" s="717" t="str">
        <f>IF(calculations!B3=1,"The JCC has complied with all aspects of the VGB Act in all of their pools and spas.","The YMCA has complied with all aspects of the VGB Act in all of their pools and spas.")</f>
        <v>The YMCA has complied with all aspects of the VGB Act in all of their pools and spas.</v>
      </c>
      <c r="P489" s="717"/>
      <c r="Q489" s="717"/>
      <c r="R489" s="717"/>
      <c r="S489" s="717"/>
      <c r="T489" s="717"/>
      <c r="U489" s="717"/>
      <c r="V489" s="717"/>
      <c r="W489" s="717"/>
      <c r="X489" s="717"/>
      <c r="Y489" s="717"/>
      <c r="Z489" s="717"/>
      <c r="AA489" s="717"/>
      <c r="AB489" s="717"/>
      <c r="AC489" s="717"/>
      <c r="AD489" s="717"/>
      <c r="AE489" s="717"/>
      <c r="AF489" s="717"/>
      <c r="AG489" s="717"/>
      <c r="AH489" s="717"/>
      <c r="AI489" s="717"/>
      <c r="AJ489" s="717"/>
      <c r="AK489" s="717"/>
      <c r="AL489" s="717"/>
      <c r="AM489" s="717"/>
      <c r="AN489" s="717"/>
      <c r="AO489" s="717"/>
      <c r="AP489" s="717"/>
      <c r="AQ489" s="717"/>
      <c r="AR489" s="717"/>
    </row>
    <row r="490" spans="1:52" ht="4.5" customHeight="1" x14ac:dyDescent="0.3">
      <c r="C490" s="11"/>
      <c r="D490" s="11"/>
      <c r="E490" s="11"/>
      <c r="F490" s="11"/>
      <c r="G490" s="11"/>
      <c r="H490" s="11"/>
      <c r="I490" s="11"/>
      <c r="J490" s="212"/>
      <c r="K490" s="212"/>
      <c r="L490" s="212"/>
      <c r="M490" s="212"/>
      <c r="N490" s="212"/>
      <c r="O490" s="212"/>
      <c r="P490" s="212"/>
      <c r="Q490" s="212"/>
      <c r="R490" s="212"/>
      <c r="S490" s="212"/>
      <c r="T490" s="212"/>
      <c r="U490" s="212"/>
      <c r="V490" s="212"/>
      <c r="W490" s="212"/>
      <c r="X490" s="212"/>
      <c r="Y490" s="212"/>
      <c r="Z490" s="212"/>
      <c r="AA490" s="212"/>
      <c r="AB490" s="212"/>
      <c r="AC490" s="212"/>
      <c r="AD490" s="212"/>
      <c r="AE490" s="212"/>
      <c r="AF490" s="212"/>
      <c r="AG490" s="212"/>
      <c r="AH490" s="212"/>
      <c r="AI490" s="212"/>
      <c r="AJ490" s="212"/>
      <c r="AK490" s="212"/>
      <c r="AL490" s="212"/>
      <c r="AM490" s="212"/>
      <c r="AN490" s="212"/>
      <c r="AO490" s="212"/>
      <c r="AP490" s="212"/>
      <c r="AQ490" s="212"/>
      <c r="AR490" s="212"/>
      <c r="AS490" s="31"/>
      <c r="AT490" s="31"/>
      <c r="AU490" s="32"/>
      <c r="AV490" s="33"/>
      <c r="AW490" s="31"/>
      <c r="AX490" s="31"/>
      <c r="AY490" s="31"/>
      <c r="AZ490" s="31"/>
    </row>
    <row r="491" spans="1:52" x14ac:dyDescent="0.3">
      <c r="E491" s="11"/>
      <c r="F491" s="13" t="s">
        <v>700</v>
      </c>
      <c r="J491" s="706"/>
      <c r="K491" s="707"/>
      <c r="L491" s="707"/>
      <c r="M491" s="707"/>
      <c r="N491" s="707"/>
      <c r="O491" s="707"/>
      <c r="P491" s="707"/>
      <c r="Q491" s="707"/>
      <c r="R491" s="707"/>
      <c r="S491" s="707"/>
      <c r="T491" s="707"/>
      <c r="U491" s="707"/>
      <c r="V491" s="707"/>
      <c r="W491" s="707"/>
      <c r="X491" s="707"/>
      <c r="Y491" s="707"/>
      <c r="Z491" s="707"/>
      <c r="AA491" s="707"/>
      <c r="AB491" s="707"/>
      <c r="AC491" s="707"/>
      <c r="AD491" s="707"/>
      <c r="AE491" s="707"/>
      <c r="AF491" s="707"/>
      <c r="AG491" s="707"/>
      <c r="AH491" s="707"/>
      <c r="AI491" s="707"/>
      <c r="AJ491" s="707"/>
      <c r="AK491" s="707"/>
      <c r="AL491" s="707"/>
      <c r="AM491" s="707"/>
      <c r="AN491" s="707"/>
      <c r="AO491" s="707"/>
      <c r="AP491" s="707"/>
      <c r="AQ491" s="707"/>
      <c r="AR491" s="708"/>
    </row>
    <row r="492" spans="1:52" x14ac:dyDescent="0.3">
      <c r="E492" s="11"/>
      <c r="G492" s="38"/>
    </row>
    <row r="493" spans="1:52" ht="23.25" customHeight="1" x14ac:dyDescent="0.3">
      <c r="A493" s="748" t="s">
        <v>355</v>
      </c>
      <c r="B493" s="749"/>
      <c r="C493" s="749"/>
      <c r="D493" s="749"/>
      <c r="E493" s="749"/>
      <c r="F493" s="749"/>
      <c r="G493" s="749"/>
      <c r="H493" s="749"/>
      <c r="I493" s="749"/>
      <c r="J493" s="749"/>
      <c r="K493" s="749"/>
      <c r="L493" s="749"/>
      <c r="M493" s="749"/>
      <c r="N493" s="749"/>
      <c r="O493" s="749"/>
      <c r="P493" s="749"/>
      <c r="Q493" s="749"/>
      <c r="R493" s="749"/>
      <c r="S493" s="749"/>
      <c r="T493" s="749"/>
      <c r="U493" s="749"/>
      <c r="V493" s="749"/>
      <c r="W493" s="749"/>
      <c r="X493" s="749"/>
      <c r="Y493" s="749"/>
      <c r="Z493" s="749"/>
      <c r="AA493" s="749"/>
      <c r="AB493" s="749"/>
      <c r="AC493" s="749"/>
      <c r="AD493" s="749"/>
      <c r="AE493" s="749"/>
      <c r="AF493" s="749"/>
      <c r="AG493" s="749"/>
      <c r="AH493" s="749"/>
      <c r="AI493" s="749"/>
      <c r="AJ493" s="749"/>
      <c r="AK493" s="749"/>
      <c r="AL493" s="749"/>
      <c r="AM493" s="749"/>
      <c r="AN493" s="749"/>
      <c r="AO493" s="749"/>
      <c r="AP493" s="749"/>
      <c r="AQ493" s="749"/>
      <c r="AR493" s="749"/>
      <c r="AS493" s="20"/>
    </row>
    <row r="494" spans="1:52" x14ac:dyDescent="0.3">
      <c r="E494" s="11"/>
      <c r="AC494" s="691" t="s">
        <v>693</v>
      </c>
      <c r="AD494" s="692"/>
      <c r="AE494" s="692"/>
      <c r="AF494" s="692"/>
      <c r="AG494" s="692"/>
      <c r="AH494" s="693"/>
      <c r="AJ494" s="691" t="s">
        <v>694</v>
      </c>
      <c r="AK494" s="692"/>
      <c r="AL494" s="692"/>
      <c r="AM494" s="692"/>
      <c r="AN494" s="692"/>
      <c r="AO494" s="692"/>
      <c r="AP494" s="692"/>
      <c r="AQ494" s="692"/>
      <c r="AR494" s="693"/>
      <c r="AS494" s="20"/>
    </row>
    <row r="495" spans="1:52" x14ac:dyDescent="0.3">
      <c r="E495" s="11"/>
      <c r="AJ495" s="745" t="s">
        <v>695</v>
      </c>
      <c r="AK495" s="746"/>
      <c r="AL495" s="746"/>
      <c r="AM495" s="746"/>
      <c r="AN495" s="746"/>
      <c r="AO495" s="746"/>
      <c r="AP495" s="746"/>
      <c r="AQ495" s="746"/>
      <c r="AR495" s="747"/>
      <c r="AS495" s="20"/>
    </row>
    <row r="496" spans="1:52" x14ac:dyDescent="0.3">
      <c r="E496" s="11"/>
      <c r="AS496" s="20"/>
    </row>
    <row r="497" spans="1:45" ht="14.15" x14ac:dyDescent="0.35">
      <c r="A497" s="735">
        <v>3.1</v>
      </c>
      <c r="B497" s="735"/>
      <c r="D497" s="30" t="s">
        <v>2002</v>
      </c>
      <c r="E497" s="11"/>
      <c r="W497" s="381" t="str">
        <f>IF(calculations!B3=1," FOR ALL DRIVERS OF JCC VEHICLES, INCLUDING VOLUNTEERS"," FOR ALL DRIVERS OF YMCA VEHICLES, INCLUDING VOLUNTEERS")</f>
        <v xml:space="preserve"> FOR ALL DRIVERS OF YMCA VEHICLES, INCLUDING VOLUNTEERS</v>
      </c>
      <c r="AS497" s="20"/>
    </row>
    <row r="498" spans="1:45" ht="4.5" customHeight="1" x14ac:dyDescent="0.3">
      <c r="A498" s="13"/>
      <c r="B498" s="69"/>
      <c r="E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20"/>
    </row>
    <row r="499" spans="1:45" ht="13.5" customHeight="1" x14ac:dyDescent="0.3">
      <c r="A499" s="13" t="s">
        <v>49</v>
      </c>
      <c r="B499" s="69"/>
      <c r="C499" s="31"/>
      <c r="D499" s="31"/>
      <c r="E499" s="32"/>
      <c r="F499" s="33"/>
      <c r="G499" s="31"/>
      <c r="H499" s="31"/>
      <c r="I499" s="31"/>
      <c r="J499" s="31"/>
      <c r="K499" s="11"/>
      <c r="L499" s="717" t="s">
        <v>1173</v>
      </c>
      <c r="M499" s="717"/>
      <c r="N499" s="717"/>
      <c r="O499" s="717"/>
      <c r="P499" s="717"/>
      <c r="Q499" s="717"/>
      <c r="R499" s="717"/>
      <c r="S499" s="717"/>
      <c r="T499" s="717"/>
      <c r="U499" s="717"/>
      <c r="V499" s="717"/>
      <c r="W499" s="717"/>
      <c r="X499" s="717"/>
      <c r="Y499" s="717"/>
      <c r="Z499" s="717"/>
      <c r="AA499" s="717"/>
      <c r="AB499" s="717"/>
      <c r="AC499" s="717"/>
      <c r="AD499" s="717"/>
      <c r="AE499" s="717"/>
      <c r="AF499" s="717"/>
      <c r="AG499" s="717"/>
      <c r="AH499" s="717"/>
      <c r="AI499" s="717"/>
      <c r="AJ499" s="717"/>
      <c r="AK499" s="717"/>
      <c r="AL499" s="717"/>
      <c r="AM499" s="717"/>
      <c r="AN499" s="717"/>
      <c r="AO499" s="717"/>
      <c r="AP499" s="717"/>
      <c r="AQ499" s="717"/>
      <c r="AR499" s="717"/>
      <c r="AS499" s="20"/>
    </row>
    <row r="500" spans="1:45" ht="4.5" customHeight="1" x14ac:dyDescent="0.3">
      <c r="A500" s="13"/>
      <c r="B500" s="69"/>
      <c r="C500" s="31"/>
      <c r="D500" s="31"/>
      <c r="E500" s="34"/>
      <c r="F500" s="31"/>
      <c r="G500" s="31"/>
      <c r="H500" s="31"/>
      <c r="I500" s="31"/>
      <c r="J500" s="31"/>
      <c r="K500" s="11"/>
      <c r="L500" s="212"/>
      <c r="M500" s="212"/>
      <c r="N500" s="212"/>
      <c r="O500" s="212"/>
      <c r="P500" s="212"/>
      <c r="Q500" s="212"/>
      <c r="R500" s="212"/>
      <c r="S500" s="212"/>
      <c r="T500" s="212"/>
      <c r="U500" s="212"/>
      <c r="V500" s="212"/>
      <c r="W500" s="212"/>
      <c r="X500" s="212"/>
      <c r="Y500" s="212"/>
      <c r="Z500" s="212"/>
      <c r="AA500" s="212"/>
      <c r="AB500" s="212"/>
      <c r="AC500" s="212"/>
      <c r="AD500" s="212"/>
      <c r="AE500" s="212"/>
      <c r="AF500" s="212"/>
      <c r="AG500" s="212"/>
      <c r="AH500" s="212"/>
      <c r="AI500" s="212"/>
      <c r="AJ500" s="212"/>
      <c r="AK500" s="212"/>
      <c r="AL500" s="212"/>
      <c r="AM500" s="212"/>
      <c r="AN500" s="212"/>
      <c r="AO500" s="212"/>
      <c r="AP500" s="212"/>
      <c r="AQ500" s="212"/>
      <c r="AR500" s="212"/>
      <c r="AS500" s="20"/>
    </row>
    <row r="501" spans="1:45" ht="38.25" customHeight="1" x14ac:dyDescent="0.3">
      <c r="A501" s="13" t="s">
        <v>50</v>
      </c>
      <c r="B501" s="69"/>
      <c r="C501" s="31"/>
      <c r="D501" s="31"/>
      <c r="E501" s="32"/>
      <c r="F501" s="33"/>
      <c r="G501" s="31"/>
      <c r="H501" s="31"/>
      <c r="I501" s="31"/>
      <c r="J501" s="31"/>
      <c r="K501" s="11"/>
      <c r="L501" s="717" t="s">
        <v>1577</v>
      </c>
      <c r="M501" s="717"/>
      <c r="N501" s="717"/>
      <c r="O501" s="717"/>
      <c r="P501" s="717"/>
      <c r="Q501" s="717"/>
      <c r="R501" s="717"/>
      <c r="S501" s="717"/>
      <c r="T501" s="717"/>
      <c r="U501" s="717"/>
      <c r="V501" s="717"/>
      <c r="W501" s="717"/>
      <c r="X501" s="717"/>
      <c r="Y501" s="717"/>
      <c r="Z501" s="717"/>
      <c r="AA501" s="717"/>
      <c r="AB501" s="717"/>
      <c r="AC501" s="717"/>
      <c r="AD501" s="717"/>
      <c r="AE501" s="717"/>
      <c r="AF501" s="717"/>
      <c r="AG501" s="717"/>
      <c r="AH501" s="717"/>
      <c r="AI501" s="717"/>
      <c r="AJ501" s="717"/>
      <c r="AK501" s="717"/>
      <c r="AL501" s="717"/>
      <c r="AM501" s="717"/>
      <c r="AN501" s="717"/>
      <c r="AO501" s="717"/>
      <c r="AP501" s="717"/>
      <c r="AQ501" s="717"/>
      <c r="AR501" s="717"/>
      <c r="AS501" s="20"/>
    </row>
    <row r="502" spans="1:45" ht="4.5" customHeight="1" x14ac:dyDescent="0.3">
      <c r="A502" s="13"/>
      <c r="B502" s="69"/>
      <c r="C502" s="31"/>
      <c r="D502" s="31"/>
      <c r="E502" s="32"/>
      <c r="F502" s="33"/>
      <c r="G502" s="31"/>
      <c r="H502" s="31"/>
      <c r="I502" s="31"/>
      <c r="J502" s="31"/>
      <c r="K502" s="11"/>
      <c r="L502" s="212"/>
      <c r="M502" s="212"/>
      <c r="N502" s="212"/>
      <c r="O502" s="212"/>
      <c r="P502" s="212"/>
      <c r="Q502" s="212"/>
      <c r="R502" s="212"/>
      <c r="S502" s="212"/>
      <c r="T502" s="212"/>
      <c r="U502" s="212"/>
      <c r="V502" s="212"/>
      <c r="W502" s="212"/>
      <c r="X502" s="212"/>
      <c r="Y502" s="212"/>
      <c r="Z502" s="212"/>
      <c r="AA502" s="212"/>
      <c r="AB502" s="212"/>
      <c r="AC502" s="212"/>
      <c r="AD502" s="212"/>
      <c r="AE502" s="212"/>
      <c r="AF502" s="212"/>
      <c r="AG502" s="212"/>
      <c r="AH502" s="212"/>
      <c r="AI502" s="212"/>
      <c r="AJ502" s="212"/>
      <c r="AK502" s="212"/>
      <c r="AL502" s="212"/>
      <c r="AM502" s="212"/>
      <c r="AN502" s="212"/>
      <c r="AO502" s="212"/>
      <c r="AP502" s="212"/>
      <c r="AQ502" s="212"/>
      <c r="AR502" s="212"/>
      <c r="AS502" s="20"/>
    </row>
    <row r="503" spans="1:45" ht="38.25" customHeight="1" x14ac:dyDescent="0.3">
      <c r="A503" s="13" t="s">
        <v>51</v>
      </c>
      <c r="B503" s="69"/>
      <c r="C503" s="31"/>
      <c r="D503" s="31"/>
      <c r="E503" s="34"/>
      <c r="F503" s="31"/>
      <c r="G503" s="31"/>
      <c r="H503" s="31"/>
      <c r="I503" s="31"/>
      <c r="J503" s="31"/>
      <c r="K503" s="11"/>
      <c r="L503" s="717" t="s">
        <v>1180</v>
      </c>
      <c r="M503" s="717"/>
      <c r="N503" s="717"/>
      <c r="O503" s="717"/>
      <c r="P503" s="717"/>
      <c r="Q503" s="717"/>
      <c r="R503" s="717"/>
      <c r="S503" s="717"/>
      <c r="T503" s="717"/>
      <c r="U503" s="717"/>
      <c r="V503" s="717"/>
      <c r="W503" s="717"/>
      <c r="X503" s="717"/>
      <c r="Y503" s="717"/>
      <c r="Z503" s="717"/>
      <c r="AA503" s="717"/>
      <c r="AB503" s="717"/>
      <c r="AC503" s="717"/>
      <c r="AD503" s="717"/>
      <c r="AE503" s="717"/>
      <c r="AF503" s="717"/>
      <c r="AG503" s="717"/>
      <c r="AH503" s="717"/>
      <c r="AI503" s="717"/>
      <c r="AJ503" s="717"/>
      <c r="AK503" s="717"/>
      <c r="AL503" s="717"/>
      <c r="AM503" s="717"/>
      <c r="AN503" s="717"/>
      <c r="AO503" s="717"/>
      <c r="AP503" s="717"/>
      <c r="AQ503" s="717"/>
      <c r="AR503" s="717"/>
      <c r="AS503" s="20"/>
    </row>
    <row r="504" spans="1:45" ht="4.5" customHeight="1" x14ac:dyDescent="0.3">
      <c r="A504" s="13"/>
      <c r="B504" s="69"/>
      <c r="C504" s="31"/>
      <c r="D504" s="31"/>
      <c r="E504" s="34"/>
      <c r="F504" s="31"/>
      <c r="G504" s="31"/>
      <c r="H504" s="31"/>
      <c r="I504" s="31"/>
      <c r="J504" s="31"/>
      <c r="K504" s="11"/>
      <c r="L504" s="212"/>
      <c r="M504" s="212"/>
      <c r="N504" s="212"/>
      <c r="O504" s="212"/>
      <c r="P504" s="212"/>
      <c r="Q504" s="212"/>
      <c r="R504" s="212"/>
      <c r="S504" s="212"/>
      <c r="T504" s="212"/>
      <c r="U504" s="212"/>
      <c r="V504" s="212"/>
      <c r="W504" s="212"/>
      <c r="X504" s="212"/>
      <c r="Y504" s="212"/>
      <c r="Z504" s="212"/>
      <c r="AA504" s="212"/>
      <c r="AB504" s="212"/>
      <c r="AC504" s="212"/>
      <c r="AD504" s="212"/>
      <c r="AE504" s="212"/>
      <c r="AF504" s="212"/>
      <c r="AG504" s="212"/>
      <c r="AH504" s="212"/>
      <c r="AI504" s="212"/>
      <c r="AJ504" s="212"/>
      <c r="AK504" s="212"/>
      <c r="AL504" s="212"/>
      <c r="AM504" s="212"/>
      <c r="AN504" s="212"/>
      <c r="AO504" s="212"/>
      <c r="AP504" s="212"/>
      <c r="AQ504" s="212"/>
      <c r="AR504" s="212"/>
      <c r="AS504" s="20"/>
    </row>
    <row r="505" spans="1:45" ht="24.75" customHeight="1" x14ac:dyDescent="0.3">
      <c r="A505" s="13" t="s">
        <v>52</v>
      </c>
      <c r="B505" s="69"/>
      <c r="C505" s="31"/>
      <c r="D505" s="31"/>
      <c r="E505" s="32"/>
      <c r="F505" s="33"/>
      <c r="G505" s="31"/>
      <c r="H505" s="31"/>
      <c r="I505" s="31"/>
      <c r="J505" s="31"/>
      <c r="K505" s="11"/>
      <c r="L505" s="717" t="s">
        <v>1181</v>
      </c>
      <c r="M505" s="717"/>
      <c r="N505" s="717"/>
      <c r="O505" s="717"/>
      <c r="P505" s="717"/>
      <c r="Q505" s="717"/>
      <c r="R505" s="717"/>
      <c r="S505" s="717"/>
      <c r="T505" s="717"/>
      <c r="U505" s="717"/>
      <c r="V505" s="717"/>
      <c r="W505" s="717"/>
      <c r="X505" s="717"/>
      <c r="Y505" s="717"/>
      <c r="Z505" s="717"/>
      <c r="AA505" s="717"/>
      <c r="AB505" s="717"/>
      <c r="AC505" s="717"/>
      <c r="AD505" s="717"/>
      <c r="AE505" s="717"/>
      <c r="AF505" s="717"/>
      <c r="AG505" s="717"/>
      <c r="AH505" s="717"/>
      <c r="AI505" s="717"/>
      <c r="AJ505" s="717"/>
      <c r="AK505" s="717"/>
      <c r="AL505" s="717"/>
      <c r="AM505" s="717"/>
      <c r="AN505" s="717"/>
      <c r="AO505" s="717"/>
      <c r="AP505" s="717"/>
      <c r="AQ505" s="717"/>
      <c r="AR505" s="717"/>
      <c r="AS505" s="20"/>
    </row>
    <row r="506" spans="1:45" ht="4.5" customHeight="1" x14ac:dyDescent="0.3">
      <c r="A506" s="13"/>
      <c r="B506" s="69"/>
      <c r="E506" s="35"/>
      <c r="K506" s="11"/>
      <c r="L506" s="212"/>
      <c r="M506" s="212"/>
      <c r="N506" s="212"/>
      <c r="O506" s="212"/>
      <c r="P506" s="212"/>
      <c r="Q506" s="212"/>
      <c r="R506" s="212"/>
      <c r="S506" s="212"/>
      <c r="T506" s="212"/>
      <c r="U506" s="212"/>
      <c r="V506" s="212"/>
      <c r="W506" s="212"/>
      <c r="X506" s="212"/>
      <c r="Y506" s="212"/>
      <c r="Z506" s="212"/>
      <c r="AA506" s="212"/>
      <c r="AB506" s="212"/>
      <c r="AC506" s="212"/>
      <c r="AD506" s="212"/>
      <c r="AE506" s="212"/>
      <c r="AF506" s="212"/>
      <c r="AG506" s="212"/>
      <c r="AH506" s="212"/>
      <c r="AI506" s="212"/>
      <c r="AJ506" s="212"/>
      <c r="AK506" s="212"/>
      <c r="AL506" s="212"/>
      <c r="AM506" s="212"/>
      <c r="AN506" s="212"/>
      <c r="AO506" s="212"/>
      <c r="AP506" s="212"/>
      <c r="AQ506" s="212"/>
      <c r="AR506" s="212"/>
      <c r="AS506" s="20"/>
    </row>
    <row r="507" spans="1:45" ht="38.25" customHeight="1" x14ac:dyDescent="0.3">
      <c r="A507" s="13" t="s">
        <v>53</v>
      </c>
      <c r="B507" s="69"/>
      <c r="E507" s="11"/>
      <c r="F507" s="3"/>
      <c r="K507" s="11"/>
      <c r="L507" s="717" t="s">
        <v>1179</v>
      </c>
      <c r="M507" s="717"/>
      <c r="N507" s="717"/>
      <c r="O507" s="717"/>
      <c r="P507" s="717"/>
      <c r="Q507" s="717"/>
      <c r="R507" s="717"/>
      <c r="S507" s="717"/>
      <c r="T507" s="717"/>
      <c r="U507" s="717"/>
      <c r="V507" s="717"/>
      <c r="W507" s="717"/>
      <c r="X507" s="717"/>
      <c r="Y507" s="717"/>
      <c r="Z507" s="717"/>
      <c r="AA507" s="717"/>
      <c r="AB507" s="717"/>
      <c r="AC507" s="717"/>
      <c r="AD507" s="717"/>
      <c r="AE507" s="717"/>
      <c r="AF507" s="717"/>
      <c r="AG507" s="717"/>
      <c r="AH507" s="717"/>
      <c r="AI507" s="717"/>
      <c r="AJ507" s="717"/>
      <c r="AK507" s="717"/>
      <c r="AL507" s="717"/>
      <c r="AM507" s="717"/>
      <c r="AN507" s="717"/>
      <c r="AO507" s="717"/>
      <c r="AP507" s="717"/>
      <c r="AQ507" s="717"/>
      <c r="AR507" s="717"/>
      <c r="AS507" s="20"/>
    </row>
    <row r="508" spans="1:45" ht="4.5" customHeight="1" x14ac:dyDescent="0.3">
      <c r="A508" s="13"/>
      <c r="B508" s="69"/>
      <c r="E508" s="11"/>
      <c r="K508" s="11"/>
      <c r="L508" s="212"/>
      <c r="M508" s="212"/>
      <c r="N508" s="212"/>
      <c r="O508" s="212"/>
      <c r="P508" s="212"/>
      <c r="Q508" s="212"/>
      <c r="R508" s="212"/>
      <c r="S508" s="212"/>
      <c r="T508" s="212"/>
      <c r="U508" s="212"/>
      <c r="V508" s="212"/>
      <c r="W508" s="212"/>
      <c r="X508" s="212"/>
      <c r="Y508" s="212"/>
      <c r="Z508" s="212"/>
      <c r="AA508" s="212"/>
      <c r="AB508" s="212"/>
      <c r="AC508" s="212"/>
      <c r="AD508" s="212"/>
      <c r="AE508" s="212"/>
      <c r="AF508" s="212"/>
      <c r="AG508" s="212"/>
      <c r="AH508" s="212"/>
      <c r="AI508" s="212"/>
      <c r="AJ508" s="212"/>
      <c r="AK508" s="212"/>
      <c r="AL508" s="212"/>
      <c r="AM508" s="212"/>
      <c r="AN508" s="212"/>
      <c r="AO508" s="212"/>
      <c r="AP508" s="212"/>
      <c r="AQ508" s="212"/>
      <c r="AR508" s="212"/>
      <c r="AS508" s="20"/>
    </row>
    <row r="509" spans="1:45" ht="24.75" customHeight="1" x14ac:dyDescent="0.3">
      <c r="A509" s="13" t="s">
        <v>356</v>
      </c>
      <c r="B509" s="69"/>
      <c r="C509" s="39"/>
      <c r="D509" s="39"/>
      <c r="E509" s="44"/>
      <c r="F509" s="39"/>
      <c r="G509" s="39"/>
      <c r="H509" s="39"/>
      <c r="I509" s="39"/>
      <c r="J509" s="39"/>
      <c r="K509" s="44"/>
      <c r="L509" s="717" t="s">
        <v>1178</v>
      </c>
      <c r="M509" s="717"/>
      <c r="N509" s="717"/>
      <c r="O509" s="717"/>
      <c r="P509" s="717"/>
      <c r="Q509" s="717"/>
      <c r="R509" s="717"/>
      <c r="S509" s="717"/>
      <c r="T509" s="717"/>
      <c r="U509" s="717"/>
      <c r="V509" s="717"/>
      <c r="W509" s="717"/>
      <c r="X509" s="717"/>
      <c r="Y509" s="717"/>
      <c r="Z509" s="717"/>
      <c r="AA509" s="717"/>
      <c r="AB509" s="717"/>
      <c r="AC509" s="717"/>
      <c r="AD509" s="717"/>
      <c r="AE509" s="717"/>
      <c r="AF509" s="717"/>
      <c r="AG509" s="717"/>
      <c r="AH509" s="717"/>
      <c r="AI509" s="717"/>
      <c r="AJ509" s="717"/>
      <c r="AK509" s="717"/>
      <c r="AL509" s="717"/>
      <c r="AM509" s="717"/>
      <c r="AN509" s="717"/>
      <c r="AO509" s="717"/>
      <c r="AP509" s="717"/>
      <c r="AQ509" s="717"/>
      <c r="AR509" s="717"/>
      <c r="AS509" s="20"/>
    </row>
    <row r="510" spans="1:45" ht="4.5" customHeight="1" x14ac:dyDescent="0.3">
      <c r="C510" s="31"/>
      <c r="D510" s="31"/>
      <c r="E510" s="32"/>
      <c r="F510" s="33"/>
      <c r="G510" s="31"/>
      <c r="H510" s="31"/>
      <c r="I510" s="31"/>
      <c r="J510" s="31"/>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c r="AL510" s="83"/>
      <c r="AM510" s="83"/>
      <c r="AN510" s="83"/>
      <c r="AO510" s="83"/>
      <c r="AP510" s="83"/>
      <c r="AQ510" s="83"/>
      <c r="AR510" s="83"/>
      <c r="AS510" s="20"/>
    </row>
    <row r="511" spans="1:45" x14ac:dyDescent="0.3">
      <c r="E511" s="11"/>
      <c r="F511" s="13" t="s">
        <v>700</v>
      </c>
      <c r="J511" s="706" t="str">
        <f>IF(calculations!M28,"describe corrective action proposed to correct any Red Flag or Yellow Flag ranking",IF(calculations!N28,"describe corrective action proposed to correct any Red Flag or Yellow Flag ranking",""))</f>
        <v/>
      </c>
      <c r="K511" s="707"/>
      <c r="L511" s="707"/>
      <c r="M511" s="707"/>
      <c r="N511" s="707"/>
      <c r="O511" s="707"/>
      <c r="P511" s="707"/>
      <c r="Q511" s="707"/>
      <c r="R511" s="707"/>
      <c r="S511" s="707"/>
      <c r="T511" s="707"/>
      <c r="U511" s="707"/>
      <c r="V511" s="707"/>
      <c r="W511" s="707"/>
      <c r="X511" s="707"/>
      <c r="Y511" s="707"/>
      <c r="Z511" s="707"/>
      <c r="AA511" s="707"/>
      <c r="AB511" s="707"/>
      <c r="AC511" s="707"/>
      <c r="AD511" s="707"/>
      <c r="AE511" s="707"/>
      <c r="AF511" s="707"/>
      <c r="AG511" s="707"/>
      <c r="AH511" s="707"/>
      <c r="AI511" s="707"/>
      <c r="AJ511" s="707"/>
      <c r="AK511" s="707"/>
      <c r="AL511" s="707"/>
      <c r="AM511" s="707"/>
      <c r="AN511" s="707"/>
      <c r="AO511" s="707"/>
      <c r="AP511" s="707"/>
      <c r="AQ511" s="707"/>
      <c r="AR511" s="708"/>
      <c r="AS511" s="20"/>
    </row>
    <row r="512" spans="1:45" ht="4.5" customHeight="1" x14ac:dyDescent="0.3">
      <c r="E512" s="11"/>
      <c r="G512" s="38"/>
      <c r="J512" s="214"/>
      <c r="K512" s="214"/>
      <c r="L512" s="214"/>
      <c r="M512" s="214"/>
      <c r="N512" s="214"/>
      <c r="O512" s="214"/>
      <c r="P512" s="214"/>
      <c r="Q512" s="214"/>
      <c r="R512" s="214"/>
      <c r="S512" s="214"/>
      <c r="T512" s="214"/>
      <c r="U512" s="214"/>
      <c r="V512" s="214"/>
      <c r="W512" s="214"/>
      <c r="X512" s="214"/>
      <c r="Y512" s="214"/>
      <c r="Z512" s="214"/>
      <c r="AA512" s="214"/>
      <c r="AB512" s="214"/>
      <c r="AC512" s="214"/>
      <c r="AD512" s="214"/>
      <c r="AE512" s="214"/>
      <c r="AF512" s="214"/>
      <c r="AG512" s="214"/>
      <c r="AH512" s="214"/>
      <c r="AI512" s="214"/>
      <c r="AJ512" s="214"/>
      <c r="AK512" s="214"/>
      <c r="AL512" s="214"/>
      <c r="AM512" s="214"/>
      <c r="AN512" s="214"/>
      <c r="AO512" s="214"/>
      <c r="AP512" s="214"/>
      <c r="AQ512" s="214"/>
      <c r="AR512" s="214"/>
      <c r="AS512" s="20"/>
    </row>
    <row r="513" spans="1:48" ht="27" customHeight="1" x14ac:dyDescent="0.3">
      <c r="E513" s="11"/>
      <c r="F513" s="55" t="str">
        <f>IF(J513&gt;"","REC",IF(calculations!M28,"REC",IF(calculations!N28,"REC","")))</f>
        <v/>
      </c>
      <c r="G513" s="38"/>
      <c r="J513" s="724" t="str">
        <f>IF(calculations!M28=TRUE,Rec!E48,IF(calculations!N28=TRUE,Rec!E49,""))</f>
        <v/>
      </c>
      <c r="K513" s="725"/>
      <c r="L513" s="725"/>
      <c r="M513" s="725"/>
      <c r="N513" s="725"/>
      <c r="O513" s="725"/>
      <c r="P513" s="725"/>
      <c r="Q513" s="725"/>
      <c r="R513" s="725"/>
      <c r="S513" s="725"/>
      <c r="T513" s="725"/>
      <c r="U513" s="725"/>
      <c r="V513" s="725"/>
      <c r="W513" s="725"/>
      <c r="X513" s="725"/>
      <c r="Y513" s="725"/>
      <c r="Z513" s="725"/>
      <c r="AA513" s="725"/>
      <c r="AB513" s="725"/>
      <c r="AC513" s="725"/>
      <c r="AD513" s="725"/>
      <c r="AE513" s="725"/>
      <c r="AF513" s="725"/>
      <c r="AG513" s="725"/>
      <c r="AH513" s="725"/>
      <c r="AI513" s="725"/>
      <c r="AJ513" s="725"/>
      <c r="AK513" s="725"/>
      <c r="AL513" s="725"/>
      <c r="AM513" s="725"/>
      <c r="AN513" s="725"/>
      <c r="AO513" s="725"/>
      <c r="AP513" s="725"/>
      <c r="AQ513" s="725"/>
      <c r="AR513" s="726"/>
      <c r="AS513" s="20"/>
    </row>
    <row r="514" spans="1:48" ht="13.5" customHeight="1" x14ac:dyDescent="0.3">
      <c r="E514" s="11"/>
      <c r="F514" s="37"/>
      <c r="AS514" s="20"/>
    </row>
    <row r="515" spans="1:48" ht="14.15" x14ac:dyDescent="0.35">
      <c r="A515" s="735">
        <v>3.2</v>
      </c>
      <c r="B515" s="735"/>
      <c r="D515" s="30" t="s">
        <v>1983</v>
      </c>
      <c r="E515" s="11"/>
      <c r="M515" s="625" t="str">
        <f>IF(calculations!B3=1,"- FOR ALL DRIVERS OF JCC VEHICLES, INCLUDING VOLUNTEERS","- FOR ALL DRIVERS OF Y VEHICLES, INCLUDING VOLUNTEERS")</f>
        <v>- FOR ALL DRIVERS OF Y VEHICLES, INCLUDING VOLUNTEERS</v>
      </c>
      <c r="AS515" s="20"/>
    </row>
    <row r="516" spans="1:48" ht="4.5" customHeight="1" x14ac:dyDescent="0.3">
      <c r="A516" s="13"/>
      <c r="B516" s="69"/>
      <c r="E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20"/>
    </row>
    <row r="517" spans="1:48" ht="13.5" customHeight="1" x14ac:dyDescent="0.3">
      <c r="A517" s="13" t="s">
        <v>55</v>
      </c>
      <c r="B517" s="69"/>
      <c r="C517" s="31"/>
      <c r="D517" s="31"/>
      <c r="E517" s="32"/>
      <c r="F517" s="33"/>
      <c r="G517" s="31"/>
      <c r="H517" s="31"/>
      <c r="I517" s="31"/>
      <c r="J517" s="215"/>
      <c r="K517" s="212"/>
      <c r="L517" s="717" t="s">
        <v>1166</v>
      </c>
      <c r="M517" s="717"/>
      <c r="N517" s="717"/>
      <c r="O517" s="717"/>
      <c r="P517" s="717"/>
      <c r="Q517" s="717"/>
      <c r="R517" s="717"/>
      <c r="S517" s="717"/>
      <c r="T517" s="717"/>
      <c r="U517" s="717"/>
      <c r="V517" s="717"/>
      <c r="W517" s="717"/>
      <c r="X517" s="717"/>
      <c r="Y517" s="717"/>
      <c r="Z517" s="717"/>
      <c r="AA517" s="717"/>
      <c r="AB517" s="717"/>
      <c r="AC517" s="717"/>
      <c r="AD517" s="717"/>
      <c r="AE517" s="717"/>
      <c r="AF517" s="717"/>
      <c r="AG517" s="717"/>
      <c r="AH517" s="717"/>
      <c r="AI517" s="717"/>
      <c r="AJ517" s="717"/>
      <c r="AK517" s="717"/>
      <c r="AL517" s="717"/>
      <c r="AM517" s="717"/>
      <c r="AN517" s="717"/>
      <c r="AO517" s="717"/>
      <c r="AP517" s="717"/>
      <c r="AQ517" s="717"/>
      <c r="AR517" s="717"/>
      <c r="AS517" s="20"/>
    </row>
    <row r="518" spans="1:48" ht="4.5" customHeight="1" x14ac:dyDescent="0.3">
      <c r="A518" s="13"/>
      <c r="B518" s="69"/>
      <c r="C518" s="31"/>
      <c r="D518" s="31"/>
      <c r="E518" s="34"/>
      <c r="F518" s="31"/>
      <c r="G518" s="31"/>
      <c r="H518" s="31"/>
      <c r="I518" s="31"/>
      <c r="J518" s="215"/>
      <c r="K518" s="212"/>
      <c r="L518" s="212"/>
      <c r="M518" s="212"/>
      <c r="N518" s="212"/>
      <c r="O518" s="212"/>
      <c r="P518" s="212"/>
      <c r="Q518" s="212"/>
      <c r="R518" s="212"/>
      <c r="S518" s="212"/>
      <c r="T518" s="212"/>
      <c r="U518" s="212"/>
      <c r="V518" s="212"/>
      <c r="W518" s="212"/>
      <c r="X518" s="212"/>
      <c r="Y518" s="212"/>
      <c r="Z518" s="212"/>
      <c r="AA518" s="212"/>
      <c r="AB518" s="212"/>
      <c r="AC518" s="212"/>
      <c r="AD518" s="212"/>
      <c r="AE518" s="212"/>
      <c r="AF518" s="212"/>
      <c r="AG518" s="212"/>
      <c r="AH518" s="212"/>
      <c r="AI518" s="212"/>
      <c r="AJ518" s="212"/>
      <c r="AK518" s="212"/>
      <c r="AL518" s="212"/>
      <c r="AM518" s="212"/>
      <c r="AN518" s="212"/>
      <c r="AO518" s="212"/>
      <c r="AP518" s="212"/>
      <c r="AQ518" s="212"/>
      <c r="AR518" s="212"/>
      <c r="AS518" s="20"/>
    </row>
    <row r="519" spans="1:48" ht="24.75" customHeight="1" x14ac:dyDescent="0.3">
      <c r="A519" s="13" t="s">
        <v>56</v>
      </c>
      <c r="B519" s="69"/>
      <c r="C519" s="31"/>
      <c r="D519" s="31"/>
      <c r="E519" s="32"/>
      <c r="F519" s="33"/>
      <c r="G519" s="31"/>
      <c r="H519" s="31"/>
      <c r="I519" s="31"/>
      <c r="J519" s="215"/>
      <c r="K519" s="212"/>
      <c r="L519" s="717" t="s">
        <v>1177</v>
      </c>
      <c r="M519" s="717"/>
      <c r="N519" s="717"/>
      <c r="O519" s="717"/>
      <c r="P519" s="717"/>
      <c r="Q519" s="717"/>
      <c r="R519" s="717"/>
      <c r="S519" s="717"/>
      <c r="T519" s="717"/>
      <c r="U519" s="717"/>
      <c r="V519" s="717"/>
      <c r="W519" s="717"/>
      <c r="X519" s="717"/>
      <c r="Y519" s="717"/>
      <c r="Z519" s="717"/>
      <c r="AA519" s="717"/>
      <c r="AB519" s="717"/>
      <c r="AC519" s="717"/>
      <c r="AD519" s="717"/>
      <c r="AE519" s="717"/>
      <c r="AF519" s="717"/>
      <c r="AG519" s="717"/>
      <c r="AH519" s="717"/>
      <c r="AI519" s="717"/>
      <c r="AJ519" s="717"/>
      <c r="AK519" s="717"/>
      <c r="AL519" s="717"/>
      <c r="AM519" s="717"/>
      <c r="AN519" s="717"/>
      <c r="AO519" s="717"/>
      <c r="AP519" s="717"/>
      <c r="AQ519" s="717"/>
      <c r="AR519" s="717"/>
      <c r="AS519" s="20"/>
    </row>
    <row r="520" spans="1:48" ht="12.75" hidden="1" customHeight="1" x14ac:dyDescent="0.3">
      <c r="A520" s="13"/>
      <c r="B520" s="69"/>
      <c r="C520" s="31"/>
      <c r="D520" s="31"/>
      <c r="E520" s="32"/>
      <c r="F520" s="33"/>
      <c r="G520" s="31"/>
      <c r="H520" s="31"/>
      <c r="I520" s="31"/>
      <c r="J520" s="215"/>
      <c r="K520" s="212"/>
      <c r="L520" s="717"/>
      <c r="M520" s="717"/>
      <c r="N520" s="717"/>
      <c r="O520" s="717"/>
      <c r="P520" s="717"/>
      <c r="Q520" s="717"/>
      <c r="R520" s="717"/>
      <c r="S520" s="717"/>
      <c r="T520" s="717"/>
      <c r="U520" s="717"/>
      <c r="V520" s="717"/>
      <c r="W520" s="717"/>
      <c r="X520" s="717"/>
      <c r="Y520" s="717"/>
      <c r="Z520" s="717"/>
      <c r="AA520" s="717"/>
      <c r="AB520" s="717"/>
      <c r="AC520" s="717"/>
      <c r="AD520" s="717"/>
      <c r="AE520" s="717"/>
      <c r="AF520" s="717"/>
      <c r="AG520" s="717"/>
      <c r="AH520" s="717"/>
      <c r="AI520" s="717"/>
      <c r="AJ520" s="717"/>
      <c r="AK520" s="717"/>
      <c r="AL520" s="717"/>
      <c r="AM520" s="717"/>
      <c r="AN520" s="717"/>
      <c r="AO520" s="717"/>
      <c r="AP520" s="717"/>
      <c r="AQ520" s="717"/>
      <c r="AR520" s="717"/>
      <c r="AS520" s="20"/>
    </row>
    <row r="521" spans="1:48" ht="4.5" customHeight="1" x14ac:dyDescent="0.3">
      <c r="A521" s="13"/>
      <c r="B521" s="69"/>
      <c r="C521" s="31"/>
      <c r="D521" s="31"/>
      <c r="E521" s="34"/>
      <c r="F521" s="31"/>
      <c r="G521" s="31"/>
      <c r="H521" s="31"/>
      <c r="I521" s="31"/>
      <c r="J521" s="215"/>
      <c r="K521" s="212"/>
      <c r="L521" s="212"/>
      <c r="M521" s="212"/>
      <c r="N521" s="212"/>
      <c r="O521" s="212"/>
      <c r="P521" s="212"/>
      <c r="Q521" s="212"/>
      <c r="R521" s="212"/>
      <c r="S521" s="212"/>
      <c r="T521" s="212"/>
      <c r="U521" s="212"/>
      <c r="V521" s="212"/>
      <c r="W521" s="212"/>
      <c r="X521" s="212"/>
      <c r="Y521" s="212"/>
      <c r="Z521" s="212"/>
      <c r="AA521" s="212"/>
      <c r="AB521" s="212"/>
      <c r="AC521" s="212"/>
      <c r="AD521" s="212"/>
      <c r="AE521" s="212"/>
      <c r="AF521" s="212"/>
      <c r="AG521" s="212"/>
      <c r="AH521" s="212"/>
      <c r="AI521" s="212"/>
      <c r="AJ521" s="212"/>
      <c r="AK521" s="212"/>
      <c r="AL521" s="212"/>
      <c r="AM521" s="212"/>
      <c r="AN521" s="212"/>
      <c r="AO521" s="212"/>
      <c r="AP521" s="212"/>
      <c r="AQ521" s="212"/>
      <c r="AR521" s="212"/>
      <c r="AS521" s="20"/>
    </row>
    <row r="522" spans="1:48" ht="60" customHeight="1" x14ac:dyDescent="0.3">
      <c r="A522" s="13" t="s">
        <v>57</v>
      </c>
      <c r="B522" s="69"/>
      <c r="C522" s="31"/>
      <c r="D522" s="31"/>
      <c r="E522" s="34"/>
      <c r="F522" s="31"/>
      <c r="G522" s="31"/>
      <c r="H522" s="31"/>
      <c r="I522" s="31"/>
      <c r="J522" s="215"/>
      <c r="K522" s="212"/>
      <c r="L522" s="717" t="str">
        <f>IF(calculations!B3=1,forms!A248,forms!A247)</f>
        <v>1) GOLD MEDAL plus there is a policy of never renting or hiring 15-passenger vans that is communicated to all employees. 
2) Initial road tests are consistently given and documented. 
3) All drivers of association owned, rented, or leased vehicles participate in a documented  defensive driving course (e.g., Back to Basics, DDC, or equivalent) at least every 3 years.</v>
      </c>
      <c r="M522" s="717"/>
      <c r="N522" s="717"/>
      <c r="O522" s="717"/>
      <c r="P522" s="717"/>
      <c r="Q522" s="717"/>
      <c r="R522" s="717"/>
      <c r="S522" s="717"/>
      <c r="T522" s="717"/>
      <c r="U522" s="717"/>
      <c r="V522" s="717"/>
      <c r="W522" s="717"/>
      <c r="X522" s="717"/>
      <c r="Y522" s="717"/>
      <c r="Z522" s="717"/>
      <c r="AA522" s="717"/>
      <c r="AB522" s="717"/>
      <c r="AC522" s="717"/>
      <c r="AD522" s="717"/>
      <c r="AE522" s="717"/>
      <c r="AF522" s="717"/>
      <c r="AG522" s="717"/>
      <c r="AH522" s="717"/>
      <c r="AI522" s="717"/>
      <c r="AJ522" s="717"/>
      <c r="AK522" s="717"/>
      <c r="AL522" s="717"/>
      <c r="AM522" s="717"/>
      <c r="AN522" s="717"/>
      <c r="AO522" s="717"/>
      <c r="AP522" s="717"/>
      <c r="AQ522" s="717"/>
      <c r="AR522" s="717"/>
      <c r="AS522" s="20"/>
      <c r="AV522" s="38"/>
    </row>
    <row r="523" spans="1:48" ht="12.75" hidden="1" customHeight="1" x14ac:dyDescent="0.3">
      <c r="A523" s="13"/>
      <c r="B523" s="69"/>
      <c r="C523" s="31"/>
      <c r="D523" s="31"/>
      <c r="E523" s="32"/>
      <c r="F523" s="33"/>
      <c r="G523" s="31"/>
      <c r="H523" s="31"/>
      <c r="I523" s="31"/>
      <c r="J523" s="215"/>
      <c r="K523" s="212"/>
      <c r="L523" s="717"/>
      <c r="M523" s="717"/>
      <c r="N523" s="717"/>
      <c r="O523" s="717"/>
      <c r="P523" s="717"/>
      <c r="Q523" s="717"/>
      <c r="R523" s="717"/>
      <c r="S523" s="717"/>
      <c r="T523" s="717"/>
      <c r="U523" s="717"/>
      <c r="V523" s="717"/>
      <c r="W523" s="717"/>
      <c r="X523" s="717"/>
      <c r="Y523" s="717"/>
      <c r="Z523" s="717"/>
      <c r="AA523" s="717"/>
      <c r="AB523" s="717"/>
      <c r="AC523" s="717"/>
      <c r="AD523" s="717"/>
      <c r="AE523" s="717"/>
      <c r="AF523" s="717"/>
      <c r="AG523" s="717"/>
      <c r="AH523" s="717"/>
      <c r="AI523" s="717"/>
      <c r="AJ523" s="717"/>
      <c r="AK523" s="717"/>
      <c r="AL523" s="717"/>
      <c r="AM523" s="717"/>
      <c r="AN523" s="717"/>
      <c r="AO523" s="717"/>
      <c r="AP523" s="717"/>
      <c r="AQ523" s="717"/>
      <c r="AR523" s="717"/>
      <c r="AS523" s="20"/>
    </row>
    <row r="524" spans="1:48" ht="4.5" customHeight="1" x14ac:dyDescent="0.3">
      <c r="A524" s="13"/>
      <c r="B524" s="69"/>
      <c r="E524" s="35"/>
      <c r="J524" s="214"/>
      <c r="K524" s="212"/>
      <c r="L524" s="212"/>
      <c r="M524" s="212"/>
      <c r="N524" s="212"/>
      <c r="O524" s="212"/>
      <c r="P524" s="212"/>
      <c r="Q524" s="212"/>
      <c r="R524" s="212"/>
      <c r="S524" s="212"/>
      <c r="T524" s="212"/>
      <c r="U524" s="212"/>
      <c r="V524" s="212"/>
      <c r="W524" s="212"/>
      <c r="X524" s="212"/>
      <c r="Y524" s="212"/>
      <c r="Z524" s="212"/>
      <c r="AA524" s="212"/>
      <c r="AB524" s="212"/>
      <c r="AC524" s="212"/>
      <c r="AD524" s="212"/>
      <c r="AE524" s="212"/>
      <c r="AF524" s="212"/>
      <c r="AG524" s="212"/>
      <c r="AH524" s="212"/>
      <c r="AI524" s="212"/>
      <c r="AJ524" s="212"/>
      <c r="AK524" s="212"/>
      <c r="AL524" s="212"/>
      <c r="AM524" s="212"/>
      <c r="AN524" s="212"/>
      <c r="AO524" s="212"/>
      <c r="AP524" s="212"/>
      <c r="AQ524" s="212"/>
      <c r="AR524" s="212"/>
      <c r="AS524" s="20"/>
    </row>
    <row r="525" spans="1:48" ht="24.75" customHeight="1" x14ac:dyDescent="0.3">
      <c r="A525" s="13" t="s">
        <v>58</v>
      </c>
      <c r="B525" s="69"/>
      <c r="E525" s="11"/>
      <c r="F525" s="3"/>
      <c r="J525" s="214"/>
      <c r="K525" s="212"/>
      <c r="L525" s="717" t="s">
        <v>1176</v>
      </c>
      <c r="M525" s="717"/>
      <c r="N525" s="717"/>
      <c r="O525" s="717"/>
      <c r="P525" s="717"/>
      <c r="Q525" s="717"/>
      <c r="R525" s="717"/>
      <c r="S525" s="717"/>
      <c r="T525" s="717"/>
      <c r="U525" s="717"/>
      <c r="V525" s="717"/>
      <c r="W525" s="717"/>
      <c r="X525" s="717"/>
      <c r="Y525" s="717"/>
      <c r="Z525" s="717"/>
      <c r="AA525" s="717"/>
      <c r="AB525" s="717"/>
      <c r="AC525" s="717"/>
      <c r="AD525" s="717"/>
      <c r="AE525" s="717"/>
      <c r="AF525" s="717"/>
      <c r="AG525" s="717"/>
      <c r="AH525" s="717"/>
      <c r="AI525" s="717"/>
      <c r="AJ525" s="717"/>
      <c r="AK525" s="717"/>
      <c r="AL525" s="717"/>
      <c r="AM525" s="717"/>
      <c r="AN525" s="717"/>
      <c r="AO525" s="717"/>
      <c r="AP525" s="717"/>
      <c r="AQ525" s="717"/>
      <c r="AR525" s="717"/>
      <c r="AS525" s="20"/>
    </row>
    <row r="526" spans="1:48" ht="4.5" customHeight="1" x14ac:dyDescent="0.3">
      <c r="A526" s="13"/>
      <c r="B526" s="69"/>
      <c r="E526" s="11"/>
      <c r="J526" s="214"/>
      <c r="K526" s="212"/>
      <c r="L526" s="212"/>
      <c r="M526" s="212"/>
      <c r="N526" s="212"/>
      <c r="O526" s="212"/>
      <c r="P526" s="212"/>
      <c r="Q526" s="212"/>
      <c r="R526" s="212"/>
      <c r="S526" s="212"/>
      <c r="T526" s="212"/>
      <c r="U526" s="212"/>
      <c r="V526" s="212"/>
      <c r="W526" s="212"/>
      <c r="X526" s="212"/>
      <c r="Y526" s="212"/>
      <c r="Z526" s="212"/>
      <c r="AA526" s="212"/>
      <c r="AB526" s="212"/>
      <c r="AC526" s="212"/>
      <c r="AD526" s="212"/>
      <c r="AE526" s="212"/>
      <c r="AF526" s="212"/>
      <c r="AG526" s="212"/>
      <c r="AH526" s="212"/>
      <c r="AI526" s="212"/>
      <c r="AJ526" s="212"/>
      <c r="AK526" s="212"/>
      <c r="AL526" s="212"/>
      <c r="AM526" s="212"/>
      <c r="AN526" s="212"/>
      <c r="AO526" s="212"/>
      <c r="AP526" s="212"/>
      <c r="AQ526" s="212"/>
      <c r="AR526" s="212"/>
      <c r="AS526" s="20"/>
    </row>
    <row r="527" spans="1:48" ht="13.5" customHeight="1" x14ac:dyDescent="0.3">
      <c r="A527" s="13" t="s">
        <v>59</v>
      </c>
      <c r="B527" s="69"/>
      <c r="C527" s="39"/>
      <c r="D527" s="39"/>
      <c r="E527" s="44"/>
      <c r="F527" s="39"/>
      <c r="G527" s="39"/>
      <c r="H527" s="39"/>
      <c r="I527" s="39"/>
      <c r="J527" s="218"/>
      <c r="K527" s="219"/>
      <c r="L527" s="717" t="s">
        <v>1175</v>
      </c>
      <c r="M527" s="717"/>
      <c r="N527" s="717"/>
      <c r="O527" s="717"/>
      <c r="P527" s="717"/>
      <c r="Q527" s="717"/>
      <c r="R527" s="717"/>
      <c r="S527" s="717"/>
      <c r="T527" s="717"/>
      <c r="U527" s="717"/>
      <c r="V527" s="717"/>
      <c r="W527" s="717"/>
      <c r="X527" s="717"/>
      <c r="Y527" s="717"/>
      <c r="Z527" s="717"/>
      <c r="AA527" s="717"/>
      <c r="AB527" s="717"/>
      <c r="AC527" s="717"/>
      <c r="AD527" s="717"/>
      <c r="AE527" s="717"/>
      <c r="AF527" s="717"/>
      <c r="AG527" s="717"/>
      <c r="AH527" s="717"/>
      <c r="AI527" s="717"/>
      <c r="AJ527" s="717"/>
      <c r="AK527" s="717"/>
      <c r="AL527" s="717"/>
      <c r="AM527" s="717"/>
      <c r="AN527" s="717"/>
      <c r="AO527" s="717"/>
      <c r="AP527" s="717"/>
      <c r="AQ527" s="717"/>
      <c r="AR527" s="717"/>
      <c r="AS527" s="20"/>
    </row>
    <row r="528" spans="1:48" ht="4.5" customHeight="1" x14ac:dyDescent="0.3">
      <c r="A528" s="13"/>
      <c r="B528" s="69"/>
      <c r="C528" s="31"/>
      <c r="D528" s="31"/>
      <c r="E528" s="32"/>
      <c r="F528" s="33"/>
      <c r="G528" s="31"/>
      <c r="H528" s="31"/>
      <c r="I528" s="31"/>
      <c r="J528" s="215"/>
      <c r="K528" s="212"/>
      <c r="L528" s="212"/>
      <c r="M528" s="212"/>
      <c r="N528" s="212"/>
      <c r="O528" s="212"/>
      <c r="P528" s="212"/>
      <c r="Q528" s="212"/>
      <c r="R528" s="212"/>
      <c r="S528" s="212"/>
      <c r="T528" s="212"/>
      <c r="U528" s="212"/>
      <c r="V528" s="212"/>
      <c r="W528" s="212"/>
      <c r="X528" s="212"/>
      <c r="Y528" s="212"/>
      <c r="Z528" s="212"/>
      <c r="AA528" s="212"/>
      <c r="AB528" s="212"/>
      <c r="AC528" s="212"/>
      <c r="AD528" s="212"/>
      <c r="AE528" s="212"/>
      <c r="AF528" s="212"/>
      <c r="AG528" s="212"/>
      <c r="AH528" s="212"/>
      <c r="AI528" s="212"/>
      <c r="AJ528" s="212"/>
      <c r="AK528" s="212"/>
      <c r="AL528" s="212"/>
      <c r="AM528" s="212"/>
      <c r="AN528" s="212"/>
      <c r="AO528" s="212"/>
      <c r="AP528" s="212"/>
      <c r="AQ528" s="212"/>
      <c r="AR528" s="212"/>
      <c r="AS528" s="20"/>
    </row>
    <row r="529" spans="1:48" ht="12.75" customHeight="1" x14ac:dyDescent="0.3">
      <c r="A529" s="13" t="s">
        <v>357</v>
      </c>
      <c r="B529" s="69"/>
      <c r="E529" s="11"/>
      <c r="J529" s="214"/>
      <c r="K529" s="212"/>
      <c r="L529" s="717" t="s">
        <v>1174</v>
      </c>
      <c r="M529" s="717"/>
      <c r="N529" s="717"/>
      <c r="O529" s="717"/>
      <c r="P529" s="717"/>
      <c r="Q529" s="717"/>
      <c r="R529" s="717"/>
      <c r="S529" s="717"/>
      <c r="T529" s="717"/>
      <c r="U529" s="717"/>
      <c r="V529" s="717"/>
      <c r="W529" s="717"/>
      <c r="X529" s="717"/>
      <c r="Y529" s="717"/>
      <c r="Z529" s="717"/>
      <c r="AA529" s="717"/>
      <c r="AB529" s="717"/>
      <c r="AC529" s="717"/>
      <c r="AD529" s="717"/>
      <c r="AE529" s="717"/>
      <c r="AF529" s="717"/>
      <c r="AG529" s="717"/>
      <c r="AH529" s="717"/>
      <c r="AI529" s="717"/>
      <c r="AJ529" s="717"/>
      <c r="AK529" s="717"/>
      <c r="AL529" s="717"/>
      <c r="AM529" s="717"/>
      <c r="AN529" s="717"/>
      <c r="AO529" s="717"/>
      <c r="AP529" s="717"/>
      <c r="AQ529" s="717"/>
      <c r="AR529" s="717"/>
      <c r="AS529" s="20"/>
    </row>
    <row r="530" spans="1:48" ht="4.5" customHeight="1" x14ac:dyDescent="0.3">
      <c r="E530" s="11"/>
      <c r="J530" s="214"/>
      <c r="K530" s="216"/>
      <c r="L530" s="216"/>
      <c r="M530" s="216"/>
      <c r="N530" s="216"/>
      <c r="O530" s="216"/>
      <c r="P530" s="216"/>
      <c r="Q530" s="216"/>
      <c r="R530" s="216"/>
      <c r="S530" s="216"/>
      <c r="T530" s="216"/>
      <c r="U530" s="216"/>
      <c r="V530" s="216"/>
      <c r="W530" s="216"/>
      <c r="X530" s="216"/>
      <c r="Y530" s="216"/>
      <c r="Z530" s="216"/>
      <c r="AA530" s="216"/>
      <c r="AB530" s="216"/>
      <c r="AC530" s="216"/>
      <c r="AD530" s="216"/>
      <c r="AE530" s="216"/>
      <c r="AF530" s="216"/>
      <c r="AG530" s="216"/>
      <c r="AH530" s="216"/>
      <c r="AI530" s="216"/>
      <c r="AJ530" s="216"/>
      <c r="AK530" s="216"/>
      <c r="AL530" s="216"/>
      <c r="AM530" s="216"/>
      <c r="AN530" s="216"/>
      <c r="AO530" s="216"/>
      <c r="AP530" s="216"/>
      <c r="AQ530" s="216"/>
      <c r="AR530" s="216"/>
      <c r="AS530" s="20"/>
    </row>
    <row r="531" spans="1:48" x14ac:dyDescent="0.3">
      <c r="E531" s="11"/>
      <c r="F531" s="13" t="s">
        <v>700</v>
      </c>
      <c r="J531" s="706" t="str">
        <f>IF(calculations!M29,"describe corrective action proposed to correct any Red Flag or Yellow Flag ranking",IF(calculations!N29,"describe corrective action proposed to correct any Red Flag or Yellow Flag ranking",""))</f>
        <v/>
      </c>
      <c r="K531" s="707"/>
      <c r="L531" s="707"/>
      <c r="M531" s="707"/>
      <c r="N531" s="707"/>
      <c r="O531" s="707"/>
      <c r="P531" s="707"/>
      <c r="Q531" s="707"/>
      <c r="R531" s="707"/>
      <c r="S531" s="707"/>
      <c r="T531" s="707"/>
      <c r="U531" s="707"/>
      <c r="V531" s="707"/>
      <c r="W531" s="707"/>
      <c r="X531" s="707"/>
      <c r="Y531" s="707"/>
      <c r="Z531" s="707"/>
      <c r="AA531" s="707"/>
      <c r="AB531" s="707"/>
      <c r="AC531" s="707"/>
      <c r="AD531" s="707"/>
      <c r="AE531" s="707"/>
      <c r="AF531" s="707"/>
      <c r="AG531" s="707"/>
      <c r="AH531" s="707"/>
      <c r="AI531" s="707"/>
      <c r="AJ531" s="707"/>
      <c r="AK531" s="707"/>
      <c r="AL531" s="707"/>
      <c r="AM531" s="707"/>
      <c r="AN531" s="707"/>
      <c r="AO531" s="707"/>
      <c r="AP531" s="707"/>
      <c r="AQ531" s="707"/>
      <c r="AR531" s="708"/>
      <c r="AS531" s="20"/>
    </row>
    <row r="532" spans="1:48" ht="4.5" customHeight="1" x14ac:dyDescent="0.3">
      <c r="E532" s="11"/>
      <c r="G532" s="38"/>
      <c r="J532" s="214"/>
      <c r="K532" s="214"/>
      <c r="L532" s="214"/>
      <c r="M532" s="214"/>
      <c r="N532" s="214"/>
      <c r="O532" s="214"/>
      <c r="P532" s="214"/>
      <c r="Q532" s="214"/>
      <c r="R532" s="214"/>
      <c r="S532" s="214"/>
      <c r="T532" s="214"/>
      <c r="U532" s="214"/>
      <c r="V532" s="214"/>
      <c r="W532" s="214"/>
      <c r="X532" s="214"/>
      <c r="Y532" s="214"/>
      <c r="Z532" s="214"/>
      <c r="AA532" s="214"/>
      <c r="AB532" s="214"/>
      <c r="AC532" s="214"/>
      <c r="AD532" s="214"/>
      <c r="AE532" s="214"/>
      <c r="AF532" s="214"/>
      <c r="AG532" s="214"/>
      <c r="AH532" s="214"/>
      <c r="AI532" s="214"/>
      <c r="AJ532" s="214"/>
      <c r="AK532" s="214"/>
      <c r="AL532" s="214"/>
      <c r="AM532" s="214"/>
      <c r="AN532" s="214"/>
      <c r="AO532" s="214"/>
      <c r="AP532" s="214"/>
      <c r="AQ532" s="214"/>
      <c r="AR532" s="214"/>
      <c r="AS532" s="20"/>
    </row>
    <row r="533" spans="1:48" ht="73.5" customHeight="1" x14ac:dyDescent="0.3">
      <c r="E533" s="11"/>
      <c r="F533" s="55" t="str">
        <f>IF(J533&gt;"","REC",IF(calculations!M29,"REC",IF(calculations!N29,"REC","")))</f>
        <v/>
      </c>
      <c r="G533" s="38"/>
      <c r="J533" s="724" t="str">
        <f>IF(calculations!M29=TRUE,Rec!E50,IF(calculations!N29=TRUE,Rec!E51,""))</f>
        <v/>
      </c>
      <c r="K533" s="725"/>
      <c r="L533" s="725"/>
      <c r="M533" s="725"/>
      <c r="N533" s="725"/>
      <c r="O533" s="725"/>
      <c r="P533" s="725"/>
      <c r="Q533" s="725"/>
      <c r="R533" s="725"/>
      <c r="S533" s="725"/>
      <c r="T533" s="725"/>
      <c r="U533" s="725"/>
      <c r="V533" s="725"/>
      <c r="W533" s="725"/>
      <c r="X533" s="725"/>
      <c r="Y533" s="725"/>
      <c r="Z533" s="725"/>
      <c r="AA533" s="725"/>
      <c r="AB533" s="725"/>
      <c r="AC533" s="725"/>
      <c r="AD533" s="725"/>
      <c r="AE533" s="725"/>
      <c r="AF533" s="725"/>
      <c r="AG533" s="725"/>
      <c r="AH533" s="725"/>
      <c r="AI533" s="725"/>
      <c r="AJ533" s="725"/>
      <c r="AK533" s="725"/>
      <c r="AL533" s="725"/>
      <c r="AM533" s="725"/>
      <c r="AN533" s="725"/>
      <c r="AO533" s="725"/>
      <c r="AP533" s="725"/>
      <c r="AQ533" s="725"/>
      <c r="AR533" s="726"/>
      <c r="AS533" s="20"/>
    </row>
    <row r="534" spans="1:48" ht="13.5" customHeight="1" x14ac:dyDescent="0.3">
      <c r="E534" s="11"/>
      <c r="F534" s="37"/>
      <c r="AS534" s="20"/>
    </row>
    <row r="535" spans="1:48" ht="14.15" x14ac:dyDescent="0.35">
      <c r="A535" s="735">
        <v>3.3</v>
      </c>
      <c r="B535" s="735"/>
      <c r="D535" s="30" t="str">
        <f>IF(calculations!B3=1,"USE OF PERSONAL VEHICLES ON JCC BUSINESS","USE OF PERSONAL VEHICLES ON YMCA BUSINESS")</f>
        <v>USE OF PERSONAL VEHICLES ON YMCA BUSINESS</v>
      </c>
      <c r="E535" s="11"/>
      <c r="AB535" s="69" t="s">
        <v>1984</v>
      </c>
      <c r="AS535" s="20"/>
    </row>
    <row r="536" spans="1:48" ht="21.75" customHeight="1" x14ac:dyDescent="0.3">
      <c r="A536" s="13"/>
      <c r="B536" s="69"/>
      <c r="E536" s="11"/>
      <c r="Q536" s="750" t="str">
        <f>IF(calculations!B3=1,"INCLUDES VOLUNTEERS WHO DRIVE THEIR PERSONAL VEHICLES ON JCC BUSINESS, STAFF DOING BANK, POST OFFICE, OR PURCHASE TRIPS, etc.","INCLUDES VOLUNTEERS WHO DRIVE THEIR PERSONAL VEHICLES ON YMCA BUSINESS, STAFF DOING BANK, POST OFFICE, OR PURCHASE TRIPS, etc. ")</f>
        <v xml:space="preserve">INCLUDES VOLUNTEERS WHO DRIVE THEIR PERSONAL VEHICLES ON YMCA BUSINESS, STAFF DOING BANK, POST OFFICE, OR PURCHASE TRIPS, etc. </v>
      </c>
      <c r="R536" s="750"/>
      <c r="S536" s="750"/>
      <c r="T536" s="750"/>
      <c r="U536" s="750"/>
      <c r="V536" s="750"/>
      <c r="W536" s="750"/>
      <c r="X536" s="750"/>
      <c r="Y536" s="750"/>
      <c r="Z536" s="750"/>
      <c r="AA536" s="750"/>
      <c r="AB536" s="750"/>
      <c r="AC536" s="750"/>
      <c r="AD536" s="750"/>
      <c r="AE536" s="750"/>
      <c r="AF536" s="750"/>
      <c r="AG536" s="750"/>
      <c r="AH536" s="750"/>
      <c r="AI536" s="750"/>
      <c r="AJ536" s="750"/>
      <c r="AK536" s="750"/>
      <c r="AL536" s="750"/>
      <c r="AM536" s="750"/>
      <c r="AN536" s="750"/>
      <c r="AO536" s="750"/>
      <c r="AP536" s="750"/>
      <c r="AQ536" s="750"/>
      <c r="AR536" s="750"/>
      <c r="AS536" s="20"/>
    </row>
    <row r="537" spans="1:48" ht="4.5" customHeight="1" x14ac:dyDescent="0.3">
      <c r="A537" s="13"/>
      <c r="B537" s="69"/>
      <c r="E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20"/>
    </row>
    <row r="538" spans="1:48" ht="38.25" customHeight="1" x14ac:dyDescent="0.3">
      <c r="A538" s="13" t="s">
        <v>61</v>
      </c>
      <c r="B538" s="69"/>
      <c r="C538" s="31"/>
      <c r="D538" s="31"/>
      <c r="E538" s="32"/>
      <c r="F538" s="33"/>
      <c r="G538" s="31"/>
      <c r="H538" s="31"/>
      <c r="I538" s="31"/>
      <c r="J538" s="215"/>
      <c r="K538" s="212"/>
      <c r="L538" s="717" t="str">
        <f>IF(calculations!B3=1,"1) PLATINUM MEDAL with stated minimum insurance requirements ($100/300,000 or $250,000 CSL). 2) A vehicle safety check/inspection affidavit is present for non-JCC vehicles used on JCC business.","1) PLATINUM MEDAL with stated minimum insurance requirements ($100/300,000 or $250,000 CSL). 2) A vehicle safety check/inspection affidavit is present for non-YMCA vehicles used on YMCA business.")</f>
        <v>1) PLATINUM MEDAL with stated minimum insurance requirements ($100/300,000 or $250,000 CSL). 2) A vehicle safety check/inspection affidavit is present for non-YMCA vehicles used on YMCA business.</v>
      </c>
      <c r="M538" s="717"/>
      <c r="N538" s="717"/>
      <c r="O538" s="717"/>
      <c r="P538" s="717"/>
      <c r="Q538" s="717"/>
      <c r="R538" s="717"/>
      <c r="S538" s="717"/>
      <c r="T538" s="717"/>
      <c r="U538" s="717"/>
      <c r="V538" s="717"/>
      <c r="W538" s="717"/>
      <c r="X538" s="717"/>
      <c r="Y538" s="717"/>
      <c r="Z538" s="717"/>
      <c r="AA538" s="717"/>
      <c r="AB538" s="717"/>
      <c r="AC538" s="717"/>
      <c r="AD538" s="717"/>
      <c r="AE538" s="717"/>
      <c r="AF538" s="717"/>
      <c r="AG538" s="717"/>
      <c r="AH538" s="717"/>
      <c r="AI538" s="717"/>
      <c r="AJ538" s="717"/>
      <c r="AK538" s="717"/>
      <c r="AL538" s="717"/>
      <c r="AM538" s="717"/>
      <c r="AN538" s="717"/>
      <c r="AO538" s="717"/>
      <c r="AP538" s="717"/>
      <c r="AQ538" s="717"/>
      <c r="AR538" s="717"/>
      <c r="AS538" s="20"/>
    </row>
    <row r="539" spans="1:48" ht="4.5" customHeight="1" x14ac:dyDescent="0.3">
      <c r="A539" s="13"/>
      <c r="B539" s="69"/>
      <c r="C539" s="31"/>
      <c r="D539" s="31"/>
      <c r="E539" s="34"/>
      <c r="F539" s="31"/>
      <c r="G539" s="31"/>
      <c r="H539" s="31"/>
      <c r="I539" s="31"/>
      <c r="J539" s="215"/>
      <c r="K539" s="212"/>
      <c r="L539" s="212"/>
      <c r="M539" s="212"/>
      <c r="N539" s="212"/>
      <c r="O539" s="212"/>
      <c r="P539" s="212"/>
      <c r="Q539" s="212"/>
      <c r="R539" s="212"/>
      <c r="S539" s="212"/>
      <c r="T539" s="212"/>
      <c r="U539" s="212"/>
      <c r="V539" s="212"/>
      <c r="W539" s="212"/>
      <c r="X539" s="212"/>
      <c r="Y539" s="212"/>
      <c r="Z539" s="212"/>
      <c r="AA539" s="212"/>
      <c r="AB539" s="212"/>
      <c r="AC539" s="212"/>
      <c r="AD539" s="212"/>
      <c r="AE539" s="212"/>
      <c r="AF539" s="212"/>
      <c r="AG539" s="212"/>
      <c r="AH539" s="212"/>
      <c r="AI539" s="212"/>
      <c r="AJ539" s="212"/>
      <c r="AK539" s="212"/>
      <c r="AL539" s="212"/>
      <c r="AM539" s="212"/>
      <c r="AN539" s="212"/>
      <c r="AO539" s="212"/>
      <c r="AP539" s="212"/>
      <c r="AQ539" s="212"/>
      <c r="AR539" s="212"/>
      <c r="AS539" s="20"/>
    </row>
    <row r="540" spans="1:48" ht="51.75" customHeight="1" x14ac:dyDescent="0.3">
      <c r="A540" s="13" t="s">
        <v>62</v>
      </c>
      <c r="B540" s="69"/>
      <c r="C540" s="31"/>
      <c r="D540" s="31"/>
      <c r="E540" s="32"/>
      <c r="F540" s="33"/>
      <c r="G540" s="31"/>
      <c r="H540" s="31"/>
      <c r="I540" s="31"/>
      <c r="J540" s="215"/>
      <c r="K540" s="212"/>
      <c r="L540" s="717" t="str">
        <f>IF(calculations!B3=1,forms!A250,forms!A249)</f>
        <v>1) GOLD MEDAL plus all drivers who use non-YMCA vehicles on YMCA business meet the GOLD MEDAL criteria for Driver Experience and Driver Qualification listed above. 
2) The association has documentation of current liability insurance on any non-YMCA vehicle used on YMCA business.</v>
      </c>
      <c r="M540" s="717"/>
      <c r="N540" s="717"/>
      <c r="O540" s="717"/>
      <c r="P540" s="717"/>
      <c r="Q540" s="717"/>
      <c r="R540" s="717"/>
      <c r="S540" s="717"/>
      <c r="T540" s="717"/>
      <c r="U540" s="717"/>
      <c r="V540" s="717"/>
      <c r="W540" s="717"/>
      <c r="X540" s="717"/>
      <c r="Y540" s="717"/>
      <c r="Z540" s="717"/>
      <c r="AA540" s="717"/>
      <c r="AB540" s="717"/>
      <c r="AC540" s="717"/>
      <c r="AD540" s="717"/>
      <c r="AE540" s="717"/>
      <c r="AF540" s="717"/>
      <c r="AG540" s="717"/>
      <c r="AH540" s="717"/>
      <c r="AI540" s="717"/>
      <c r="AJ540" s="717"/>
      <c r="AK540" s="717"/>
      <c r="AL540" s="717"/>
      <c r="AM540" s="717"/>
      <c r="AN540" s="717"/>
      <c r="AO540" s="717"/>
      <c r="AP540" s="717"/>
      <c r="AQ540" s="717"/>
      <c r="AR540" s="717"/>
      <c r="AS540" s="20"/>
    </row>
    <row r="541" spans="1:48" ht="4.5" customHeight="1" x14ac:dyDescent="0.3">
      <c r="A541" s="13"/>
      <c r="B541" s="69"/>
      <c r="C541" s="31"/>
      <c r="D541" s="31"/>
      <c r="E541" s="32"/>
      <c r="F541" s="33"/>
      <c r="G541" s="31"/>
      <c r="H541" s="31"/>
      <c r="I541" s="31"/>
      <c r="J541" s="215"/>
      <c r="K541" s="212"/>
      <c r="L541" s="212"/>
      <c r="M541" s="212"/>
      <c r="N541" s="212"/>
      <c r="O541" s="212"/>
      <c r="P541" s="212"/>
      <c r="Q541" s="212"/>
      <c r="R541" s="212"/>
      <c r="S541" s="212"/>
      <c r="T541" s="212"/>
      <c r="U541" s="212"/>
      <c r="V541" s="212"/>
      <c r="W541" s="212"/>
      <c r="X541" s="212"/>
      <c r="Y541" s="212"/>
      <c r="Z541" s="212"/>
      <c r="AA541" s="212"/>
      <c r="AB541" s="212"/>
      <c r="AC541" s="212"/>
      <c r="AD541" s="212"/>
      <c r="AE541" s="212"/>
      <c r="AF541" s="212"/>
      <c r="AG541" s="212"/>
      <c r="AH541" s="212"/>
      <c r="AI541" s="212"/>
      <c r="AJ541" s="212"/>
      <c r="AK541" s="212"/>
      <c r="AL541" s="212"/>
      <c r="AM541" s="212"/>
      <c r="AN541" s="212"/>
      <c r="AO541" s="212"/>
      <c r="AP541" s="212"/>
      <c r="AQ541" s="212"/>
      <c r="AR541" s="212"/>
      <c r="AS541" s="20"/>
    </row>
    <row r="542" spans="1:48" ht="26.25" customHeight="1" x14ac:dyDescent="0.3">
      <c r="A542" s="13" t="s">
        <v>63</v>
      </c>
      <c r="B542" s="69"/>
      <c r="C542" s="31"/>
      <c r="D542" s="31"/>
      <c r="E542" s="34"/>
      <c r="F542" s="31"/>
      <c r="G542" s="31"/>
      <c r="H542" s="31"/>
      <c r="I542" s="31"/>
      <c r="J542" s="215"/>
      <c r="K542" s="212"/>
      <c r="L542" s="717" t="str">
        <f>IF(calculations!B3=1,"YELLOW FLAG plus drivers agree that they will only use vehicles having current liability insurance on JCC business (but verification or documentation is not required).","YELLOW FLAG plus drivers agree that they will only use vehicles having current liability insurance on YMCA business (but verification or documentation is not required).")</f>
        <v>YELLOW FLAG plus drivers agree that they will only use vehicles having current liability insurance on YMCA business (but verification or documentation is not required).</v>
      </c>
      <c r="M542" s="717"/>
      <c r="N542" s="717"/>
      <c r="O542" s="717"/>
      <c r="P542" s="717"/>
      <c r="Q542" s="717"/>
      <c r="R542" s="717"/>
      <c r="S542" s="717"/>
      <c r="T542" s="717"/>
      <c r="U542" s="717"/>
      <c r="V542" s="717"/>
      <c r="W542" s="717"/>
      <c r="X542" s="717"/>
      <c r="Y542" s="717"/>
      <c r="Z542" s="717"/>
      <c r="AA542" s="717"/>
      <c r="AB542" s="717"/>
      <c r="AC542" s="717"/>
      <c r="AD542" s="717"/>
      <c r="AE542" s="717"/>
      <c r="AF542" s="717"/>
      <c r="AG542" s="717"/>
      <c r="AH542" s="717"/>
      <c r="AI542" s="717"/>
      <c r="AJ542" s="717"/>
      <c r="AK542" s="717"/>
      <c r="AL542" s="717"/>
      <c r="AM542" s="717"/>
      <c r="AN542" s="717"/>
      <c r="AO542" s="717"/>
      <c r="AP542" s="717"/>
      <c r="AQ542" s="717"/>
      <c r="AR542" s="717"/>
      <c r="AS542" s="20"/>
      <c r="AV542" s="38"/>
    </row>
    <row r="543" spans="1:48" ht="4.5" customHeight="1" x14ac:dyDescent="0.3">
      <c r="A543" s="13"/>
      <c r="B543" s="69"/>
      <c r="C543" s="31"/>
      <c r="D543" s="31"/>
      <c r="E543" s="34"/>
      <c r="F543" s="31"/>
      <c r="G543" s="31"/>
      <c r="H543" s="31"/>
      <c r="I543" s="31"/>
      <c r="J543" s="215"/>
      <c r="K543" s="212"/>
      <c r="L543" s="212"/>
      <c r="M543" s="212"/>
      <c r="N543" s="212"/>
      <c r="O543" s="212"/>
      <c r="P543" s="212"/>
      <c r="Q543" s="212"/>
      <c r="R543" s="212"/>
      <c r="S543" s="212"/>
      <c r="T543" s="212"/>
      <c r="U543" s="212"/>
      <c r="V543" s="212"/>
      <c r="W543" s="212"/>
      <c r="X543" s="212"/>
      <c r="Y543" s="212"/>
      <c r="Z543" s="212"/>
      <c r="AA543" s="212"/>
      <c r="AB543" s="212"/>
      <c r="AC543" s="212"/>
      <c r="AD543" s="212"/>
      <c r="AE543" s="212"/>
      <c r="AF543" s="212"/>
      <c r="AG543" s="212"/>
      <c r="AH543" s="212"/>
      <c r="AI543" s="212"/>
      <c r="AJ543" s="212"/>
      <c r="AK543" s="212"/>
      <c r="AL543" s="212"/>
      <c r="AM543" s="212"/>
      <c r="AN543" s="212"/>
      <c r="AO543" s="212"/>
      <c r="AP543" s="212"/>
      <c r="AQ543" s="212"/>
      <c r="AR543" s="212"/>
      <c r="AS543" s="20"/>
    </row>
    <row r="544" spans="1:48" ht="26.25" customHeight="1" x14ac:dyDescent="0.3">
      <c r="A544" s="13" t="s">
        <v>64</v>
      </c>
      <c r="B544" s="69"/>
      <c r="C544" s="31"/>
      <c r="D544" s="31"/>
      <c r="E544" s="32"/>
      <c r="F544" s="33"/>
      <c r="G544" s="31"/>
      <c r="H544" s="31"/>
      <c r="I544" s="31"/>
      <c r="J544" s="215"/>
      <c r="K544" s="212"/>
      <c r="L544" s="717" t="str">
        <f>IF(calculations!B3=1,"Policy prohibits transporting program participants in vehicles not owned, leased, or rented by the JCC.","Policy prohibits transporting program participants in vehicles not owned, leased, or rented by the YMCA.")</f>
        <v>Policy prohibits transporting program participants in vehicles not owned, leased, or rented by the YMCA.</v>
      </c>
      <c r="M544" s="717"/>
      <c r="N544" s="717"/>
      <c r="O544" s="717"/>
      <c r="P544" s="717"/>
      <c r="Q544" s="717"/>
      <c r="R544" s="717"/>
      <c r="S544" s="717"/>
      <c r="T544" s="717"/>
      <c r="U544" s="717"/>
      <c r="V544" s="717"/>
      <c r="W544" s="717"/>
      <c r="X544" s="717"/>
      <c r="Y544" s="717"/>
      <c r="Z544" s="717"/>
      <c r="AA544" s="717"/>
      <c r="AB544" s="717"/>
      <c r="AC544" s="717"/>
      <c r="AD544" s="717"/>
      <c r="AE544" s="717"/>
      <c r="AF544" s="717"/>
      <c r="AG544" s="717"/>
      <c r="AH544" s="717"/>
      <c r="AI544" s="717"/>
      <c r="AJ544" s="717"/>
      <c r="AK544" s="717"/>
      <c r="AL544" s="717"/>
      <c r="AM544" s="717"/>
      <c r="AN544" s="717"/>
      <c r="AO544" s="717"/>
      <c r="AP544" s="717"/>
      <c r="AQ544" s="717"/>
      <c r="AR544" s="717"/>
      <c r="AS544" s="20"/>
    </row>
    <row r="545" spans="1:45" ht="13.5" hidden="1" customHeight="1" x14ac:dyDescent="0.3">
      <c r="A545" s="13"/>
      <c r="B545" s="69"/>
      <c r="E545" s="35"/>
      <c r="J545" s="214"/>
      <c r="K545" s="212"/>
      <c r="L545" s="717"/>
      <c r="M545" s="717"/>
      <c r="N545" s="717"/>
      <c r="O545" s="717"/>
      <c r="P545" s="717"/>
      <c r="Q545" s="717"/>
      <c r="R545" s="717"/>
      <c r="S545" s="717"/>
      <c r="T545" s="717"/>
      <c r="U545" s="717"/>
      <c r="V545" s="717"/>
      <c r="W545" s="717"/>
      <c r="X545" s="717"/>
      <c r="Y545" s="717"/>
      <c r="Z545" s="717"/>
      <c r="AA545" s="717"/>
      <c r="AB545" s="717"/>
      <c r="AC545" s="717"/>
      <c r="AD545" s="717"/>
      <c r="AE545" s="717"/>
      <c r="AF545" s="717"/>
      <c r="AG545" s="717"/>
      <c r="AH545" s="717"/>
      <c r="AI545" s="717"/>
      <c r="AJ545" s="717"/>
      <c r="AK545" s="717"/>
      <c r="AL545" s="717"/>
      <c r="AM545" s="717"/>
      <c r="AN545" s="717"/>
      <c r="AO545" s="717"/>
      <c r="AP545" s="717"/>
      <c r="AQ545" s="717"/>
      <c r="AR545" s="717"/>
      <c r="AS545" s="20"/>
    </row>
    <row r="546" spans="1:45" ht="4.5" customHeight="1" x14ac:dyDescent="0.3">
      <c r="A546" s="13"/>
      <c r="B546" s="69"/>
      <c r="E546" s="11"/>
      <c r="F546" s="3"/>
      <c r="J546" s="214"/>
      <c r="K546" s="212"/>
      <c r="L546" s="212"/>
      <c r="M546" s="212"/>
      <c r="N546" s="212"/>
      <c r="O546" s="212"/>
      <c r="P546" s="212"/>
      <c r="Q546" s="212"/>
      <c r="R546" s="212"/>
      <c r="S546" s="212"/>
      <c r="T546" s="212"/>
      <c r="U546" s="212"/>
      <c r="V546" s="212"/>
      <c r="W546" s="212"/>
      <c r="X546" s="212"/>
      <c r="Y546" s="212"/>
      <c r="Z546" s="212"/>
      <c r="AA546" s="212"/>
      <c r="AB546" s="212"/>
      <c r="AC546" s="212"/>
      <c r="AD546" s="212"/>
      <c r="AE546" s="212"/>
      <c r="AF546" s="212"/>
      <c r="AG546" s="212"/>
      <c r="AH546" s="212"/>
      <c r="AI546" s="212"/>
      <c r="AJ546" s="212"/>
      <c r="AK546" s="212"/>
      <c r="AL546" s="212"/>
      <c r="AM546" s="212"/>
      <c r="AN546" s="212"/>
      <c r="AO546" s="212"/>
      <c r="AP546" s="212"/>
      <c r="AQ546" s="212"/>
      <c r="AR546" s="212"/>
      <c r="AS546" s="20"/>
    </row>
    <row r="547" spans="1:45" ht="26.25" customHeight="1" x14ac:dyDescent="0.3">
      <c r="A547" s="13" t="s">
        <v>65</v>
      </c>
      <c r="B547" s="69"/>
      <c r="E547" s="11"/>
      <c r="J547" s="214"/>
      <c r="K547" s="212"/>
      <c r="L547" s="717" t="str">
        <f>IF(calculations!B3=1,"The use of vehicles that are not owned, leased, or rented by the JCC is not addressed OR the policy allows transportation of program participants.","The use of vehicles that are not owned, leased, or rented by the YMCA is not addressed OR the policy allows transportation of program participants.")</f>
        <v>The use of vehicles that are not owned, leased, or rented by the YMCA is not addressed OR the policy allows transportation of program participants.</v>
      </c>
      <c r="M547" s="717"/>
      <c r="N547" s="717"/>
      <c r="O547" s="717"/>
      <c r="P547" s="717"/>
      <c r="Q547" s="717"/>
      <c r="R547" s="717"/>
      <c r="S547" s="717"/>
      <c r="T547" s="717"/>
      <c r="U547" s="717"/>
      <c r="V547" s="717"/>
      <c r="W547" s="717"/>
      <c r="X547" s="717"/>
      <c r="Y547" s="717"/>
      <c r="Z547" s="717"/>
      <c r="AA547" s="717"/>
      <c r="AB547" s="717"/>
      <c r="AC547" s="717"/>
      <c r="AD547" s="717"/>
      <c r="AE547" s="717"/>
      <c r="AF547" s="717"/>
      <c r="AG547" s="717"/>
      <c r="AH547" s="717"/>
      <c r="AI547" s="717"/>
      <c r="AJ547" s="717"/>
      <c r="AK547" s="717"/>
      <c r="AL547" s="717"/>
      <c r="AM547" s="717"/>
      <c r="AN547" s="717"/>
      <c r="AO547" s="717"/>
      <c r="AP547" s="717"/>
      <c r="AQ547" s="717"/>
      <c r="AR547" s="717"/>
      <c r="AS547" s="20"/>
    </row>
    <row r="548" spans="1:45" ht="4.5" customHeight="1" x14ac:dyDescent="0.3">
      <c r="E548" s="11"/>
      <c r="J548" s="214"/>
      <c r="K548" s="216"/>
      <c r="L548" s="216"/>
      <c r="M548" s="216"/>
      <c r="N548" s="216"/>
      <c r="O548" s="216"/>
      <c r="P548" s="216"/>
      <c r="Q548" s="216"/>
      <c r="R548" s="216"/>
      <c r="S548" s="216"/>
      <c r="T548" s="216"/>
      <c r="U548" s="216"/>
      <c r="V548" s="216"/>
      <c r="W548" s="216"/>
      <c r="X548" s="216"/>
      <c r="Y548" s="216"/>
      <c r="Z548" s="216"/>
      <c r="AA548" s="216"/>
      <c r="AB548" s="216"/>
      <c r="AC548" s="216"/>
      <c r="AD548" s="216"/>
      <c r="AE548" s="216"/>
      <c r="AF548" s="216"/>
      <c r="AG548" s="216"/>
      <c r="AH548" s="216"/>
      <c r="AI548" s="216"/>
      <c r="AJ548" s="216"/>
      <c r="AK548" s="216"/>
      <c r="AL548" s="216"/>
      <c r="AM548" s="216"/>
      <c r="AN548" s="216"/>
      <c r="AO548" s="216"/>
      <c r="AP548" s="216"/>
      <c r="AQ548" s="216"/>
      <c r="AR548" s="216"/>
      <c r="AS548" s="20"/>
    </row>
    <row r="549" spans="1:45" x14ac:dyDescent="0.3">
      <c r="E549" s="11"/>
      <c r="F549" s="13" t="s">
        <v>700</v>
      </c>
      <c r="J549" s="706" t="str">
        <f>IF(calculations!M30,"describe corrective action proposed to correct any Red Flag or Yellow Flag ranking",IF(calculations!N30,"describe corrective action proposed to correct any Red Flag or Yellow Flag ranking",""))</f>
        <v/>
      </c>
      <c r="K549" s="707"/>
      <c r="L549" s="707"/>
      <c r="M549" s="707"/>
      <c r="N549" s="707"/>
      <c r="O549" s="707"/>
      <c r="P549" s="707"/>
      <c r="Q549" s="707"/>
      <c r="R549" s="707"/>
      <c r="S549" s="707"/>
      <c r="T549" s="707"/>
      <c r="U549" s="707"/>
      <c r="V549" s="707"/>
      <c r="W549" s="707"/>
      <c r="X549" s="707"/>
      <c r="Y549" s="707"/>
      <c r="Z549" s="707"/>
      <c r="AA549" s="707"/>
      <c r="AB549" s="707"/>
      <c r="AC549" s="707"/>
      <c r="AD549" s="707"/>
      <c r="AE549" s="707"/>
      <c r="AF549" s="707"/>
      <c r="AG549" s="707"/>
      <c r="AH549" s="707"/>
      <c r="AI549" s="707"/>
      <c r="AJ549" s="707"/>
      <c r="AK549" s="707"/>
      <c r="AL549" s="707"/>
      <c r="AM549" s="707"/>
      <c r="AN549" s="707"/>
      <c r="AO549" s="707"/>
      <c r="AP549" s="707"/>
      <c r="AQ549" s="707"/>
      <c r="AR549" s="708"/>
      <c r="AS549" s="20"/>
    </row>
    <row r="550" spans="1:45" ht="4.5" customHeight="1" x14ac:dyDescent="0.3">
      <c r="E550" s="11"/>
      <c r="G550" s="38"/>
      <c r="J550" s="214"/>
      <c r="K550" s="214"/>
      <c r="L550" s="214"/>
      <c r="M550" s="214"/>
      <c r="N550" s="214"/>
      <c r="O550" s="214"/>
      <c r="P550" s="214"/>
      <c r="Q550" s="214"/>
      <c r="R550" s="214"/>
      <c r="S550" s="214"/>
      <c r="T550" s="214"/>
      <c r="U550" s="214"/>
      <c r="V550" s="214"/>
      <c r="W550" s="214"/>
      <c r="X550" s="214"/>
      <c r="Y550" s="214"/>
      <c r="Z550" s="214"/>
      <c r="AA550" s="214"/>
      <c r="AB550" s="214"/>
      <c r="AC550" s="214"/>
      <c r="AD550" s="214"/>
      <c r="AE550" s="214"/>
      <c r="AF550" s="214"/>
      <c r="AG550" s="214"/>
      <c r="AH550" s="214"/>
      <c r="AI550" s="214"/>
      <c r="AJ550" s="214"/>
      <c r="AK550" s="214"/>
      <c r="AL550" s="214"/>
      <c r="AM550" s="214"/>
      <c r="AN550" s="214"/>
      <c r="AO550" s="214"/>
      <c r="AP550" s="214"/>
      <c r="AQ550" s="214"/>
      <c r="AR550" s="214"/>
      <c r="AS550" s="20"/>
    </row>
    <row r="551" spans="1:45" ht="51" customHeight="1" x14ac:dyDescent="0.3">
      <c r="E551" s="11"/>
      <c r="F551" s="55" t="str">
        <f>IF(J551&gt;"","REC",IF(calculations!M30,"REC",IF(calculations!N30,"REC","")))</f>
        <v/>
      </c>
      <c r="G551" s="38"/>
      <c r="J551" s="724" t="str">
        <f>IF(calculations!M30=TRUE,Rec!E52,IF(calculations!N30=TRUE,Rec!E53,""))</f>
        <v/>
      </c>
      <c r="K551" s="725"/>
      <c r="L551" s="725"/>
      <c r="M551" s="725"/>
      <c r="N551" s="725"/>
      <c r="O551" s="725"/>
      <c r="P551" s="725"/>
      <c r="Q551" s="725"/>
      <c r="R551" s="725"/>
      <c r="S551" s="725"/>
      <c r="T551" s="725"/>
      <c r="U551" s="725"/>
      <c r="V551" s="725"/>
      <c r="W551" s="725"/>
      <c r="X551" s="725"/>
      <c r="Y551" s="725"/>
      <c r="Z551" s="725"/>
      <c r="AA551" s="725"/>
      <c r="AB551" s="725"/>
      <c r="AC551" s="725"/>
      <c r="AD551" s="725"/>
      <c r="AE551" s="725"/>
      <c r="AF551" s="725"/>
      <c r="AG551" s="725"/>
      <c r="AH551" s="725"/>
      <c r="AI551" s="725"/>
      <c r="AJ551" s="725"/>
      <c r="AK551" s="725"/>
      <c r="AL551" s="725"/>
      <c r="AM551" s="725"/>
      <c r="AN551" s="725"/>
      <c r="AO551" s="725"/>
      <c r="AP551" s="725"/>
      <c r="AQ551" s="725"/>
      <c r="AR551" s="726"/>
      <c r="AS551" s="20"/>
    </row>
    <row r="552" spans="1:45" ht="13.5" customHeight="1" x14ac:dyDescent="0.3">
      <c r="E552" s="11"/>
      <c r="F552" s="37"/>
      <c r="AS552" s="20"/>
    </row>
    <row r="553" spans="1:45" ht="14.15" x14ac:dyDescent="0.35">
      <c r="A553" s="735">
        <v>3.4</v>
      </c>
      <c r="B553" s="735"/>
      <c r="D553" s="30" t="s">
        <v>1795</v>
      </c>
      <c r="E553" s="11"/>
      <c r="AS553" s="20"/>
    </row>
    <row r="554" spans="1:45" ht="4.5" customHeight="1" x14ac:dyDescent="0.3">
      <c r="A554" s="13"/>
      <c r="B554" s="69"/>
      <c r="E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20"/>
    </row>
    <row r="555" spans="1:45" ht="13.5" customHeight="1" x14ac:dyDescent="0.3">
      <c r="A555" s="13" t="s">
        <v>66</v>
      </c>
      <c r="B555" s="69"/>
      <c r="C555" s="31"/>
      <c r="D555" s="31"/>
      <c r="E555" s="32"/>
      <c r="F555" s="33"/>
      <c r="G555" s="31"/>
      <c r="H555" s="31"/>
      <c r="I555" s="31"/>
      <c r="J555" s="31"/>
      <c r="K555" s="11"/>
      <c r="L555" s="717" t="s">
        <v>1166</v>
      </c>
      <c r="M555" s="717"/>
      <c r="N555" s="717"/>
      <c r="O555" s="717"/>
      <c r="P555" s="717"/>
      <c r="Q555" s="717"/>
      <c r="R555" s="717"/>
      <c r="S555" s="717"/>
      <c r="T555" s="717"/>
      <c r="U555" s="717"/>
      <c r="V555" s="717"/>
      <c r="W555" s="717"/>
      <c r="X555" s="717"/>
      <c r="Y555" s="717"/>
      <c r="Z555" s="717"/>
      <c r="AA555" s="717"/>
      <c r="AB555" s="717"/>
      <c r="AC555" s="717"/>
      <c r="AD555" s="717"/>
      <c r="AE555" s="717"/>
      <c r="AF555" s="717"/>
      <c r="AG555" s="717"/>
      <c r="AH555" s="717"/>
      <c r="AI555" s="717"/>
      <c r="AJ555" s="717"/>
      <c r="AK555" s="717"/>
      <c r="AL555" s="717"/>
      <c r="AM555" s="717"/>
      <c r="AN555" s="717"/>
      <c r="AO555" s="717"/>
      <c r="AP555" s="717"/>
      <c r="AQ555" s="717"/>
      <c r="AR555" s="717"/>
      <c r="AS555" s="20"/>
    </row>
    <row r="556" spans="1:45" ht="4.5" customHeight="1" x14ac:dyDescent="0.3">
      <c r="A556" s="13"/>
      <c r="B556" s="69"/>
      <c r="C556" s="31"/>
      <c r="D556" s="31"/>
      <c r="E556" s="34"/>
      <c r="F556" s="31"/>
      <c r="G556" s="31"/>
      <c r="H556" s="31"/>
      <c r="I556" s="31"/>
      <c r="J556" s="31"/>
      <c r="K556" s="11"/>
      <c r="L556" s="212"/>
      <c r="M556" s="212"/>
      <c r="N556" s="212"/>
      <c r="O556" s="212"/>
      <c r="P556" s="212"/>
      <c r="Q556" s="212"/>
      <c r="R556" s="212"/>
      <c r="S556" s="212"/>
      <c r="T556" s="212"/>
      <c r="U556" s="212"/>
      <c r="V556" s="212"/>
      <c r="W556" s="212"/>
      <c r="X556" s="212"/>
      <c r="Y556" s="212"/>
      <c r="Z556" s="212"/>
      <c r="AA556" s="212"/>
      <c r="AB556" s="212"/>
      <c r="AC556" s="212"/>
      <c r="AD556" s="212"/>
      <c r="AE556" s="212"/>
      <c r="AF556" s="212"/>
      <c r="AG556" s="212"/>
      <c r="AH556" s="212"/>
      <c r="AI556" s="212"/>
      <c r="AJ556" s="212"/>
      <c r="AK556" s="212"/>
      <c r="AL556" s="212"/>
      <c r="AM556" s="212"/>
      <c r="AN556" s="212"/>
      <c r="AO556" s="212"/>
      <c r="AP556" s="212"/>
      <c r="AQ556" s="212"/>
      <c r="AR556" s="212"/>
    </row>
    <row r="557" spans="1:45" ht="25.5" customHeight="1" x14ac:dyDescent="0.3">
      <c r="A557" s="13" t="s">
        <v>67</v>
      </c>
      <c r="B557" s="69"/>
      <c r="C557" s="31"/>
      <c r="D557" s="31"/>
      <c r="E557" s="32"/>
      <c r="F557" s="33"/>
      <c r="G557" s="31"/>
      <c r="H557" s="31"/>
      <c r="I557" s="31"/>
      <c r="J557" s="31"/>
      <c r="K557" s="11"/>
      <c r="L557" s="717" t="s">
        <v>1167</v>
      </c>
      <c r="M557" s="717"/>
      <c r="N557" s="717"/>
      <c r="O557" s="717"/>
      <c r="P557" s="717"/>
      <c r="Q557" s="717"/>
      <c r="R557" s="717"/>
      <c r="S557" s="717"/>
      <c r="T557" s="717"/>
      <c r="U557" s="717"/>
      <c r="V557" s="717"/>
      <c r="W557" s="717"/>
      <c r="X557" s="717"/>
      <c r="Y557" s="717"/>
      <c r="Z557" s="717"/>
      <c r="AA557" s="717"/>
      <c r="AB557" s="717"/>
      <c r="AC557" s="717"/>
      <c r="AD557" s="717"/>
      <c r="AE557" s="717"/>
      <c r="AF557" s="717"/>
      <c r="AG557" s="717"/>
      <c r="AH557" s="717"/>
      <c r="AI557" s="717"/>
      <c r="AJ557" s="717"/>
      <c r="AK557" s="717"/>
      <c r="AL557" s="717"/>
      <c r="AM557" s="717"/>
      <c r="AN557" s="717"/>
      <c r="AO557" s="717"/>
      <c r="AP557" s="717"/>
      <c r="AQ557" s="717"/>
      <c r="AR557" s="717"/>
    </row>
    <row r="558" spans="1:45" ht="4.5" customHeight="1" x14ac:dyDescent="0.3">
      <c r="A558" s="13"/>
      <c r="B558" s="69"/>
      <c r="C558" s="31"/>
      <c r="D558" s="31"/>
      <c r="E558" s="32"/>
      <c r="F558" s="33"/>
      <c r="G558" s="31"/>
      <c r="H558" s="31"/>
      <c r="I558" s="31"/>
      <c r="J558" s="31"/>
      <c r="K558" s="11"/>
      <c r="L558" s="212"/>
      <c r="M558" s="212"/>
      <c r="N558" s="212"/>
      <c r="O558" s="212"/>
      <c r="P558" s="212"/>
      <c r="Q558" s="212"/>
      <c r="R558" s="212"/>
      <c r="S558" s="212"/>
      <c r="T558" s="212"/>
      <c r="U558" s="212"/>
      <c r="V558" s="212"/>
      <c r="W558" s="212"/>
      <c r="X558" s="212"/>
      <c r="Y558" s="212"/>
      <c r="Z558" s="212"/>
      <c r="AA558" s="212"/>
      <c r="AB558" s="212"/>
      <c r="AC558" s="212"/>
      <c r="AD558" s="212"/>
      <c r="AE558" s="212"/>
      <c r="AF558" s="212"/>
      <c r="AG558" s="212"/>
      <c r="AH558" s="212"/>
      <c r="AI558" s="212"/>
      <c r="AJ558" s="212"/>
      <c r="AK558" s="212"/>
      <c r="AL558" s="212"/>
      <c r="AM558" s="212"/>
      <c r="AN558" s="212"/>
      <c r="AO558" s="212"/>
      <c r="AP558" s="212"/>
      <c r="AQ558" s="212"/>
      <c r="AR558" s="212"/>
    </row>
    <row r="559" spans="1:45" ht="50.25" customHeight="1" x14ac:dyDescent="0.3">
      <c r="A559" s="13" t="s">
        <v>68</v>
      </c>
      <c r="B559" s="69"/>
      <c r="C559" s="31"/>
      <c r="D559" s="31"/>
      <c r="E559" s="34"/>
      <c r="F559" s="31"/>
      <c r="G559" s="31"/>
      <c r="H559" s="31"/>
      <c r="I559" s="31"/>
      <c r="J559" s="31"/>
      <c r="K559" s="11"/>
      <c r="L559" s="717" t="s">
        <v>1168</v>
      </c>
      <c r="M559" s="717"/>
      <c r="N559" s="717"/>
      <c r="O559" s="717"/>
      <c r="P559" s="717"/>
      <c r="Q559" s="717"/>
      <c r="R559" s="717"/>
      <c r="S559" s="717"/>
      <c r="T559" s="717"/>
      <c r="U559" s="717"/>
      <c r="V559" s="717"/>
      <c r="W559" s="717"/>
      <c r="X559" s="717"/>
      <c r="Y559" s="717"/>
      <c r="Z559" s="717"/>
      <c r="AA559" s="717"/>
      <c r="AB559" s="717"/>
      <c r="AC559" s="717"/>
      <c r="AD559" s="717"/>
      <c r="AE559" s="717"/>
      <c r="AF559" s="717"/>
      <c r="AG559" s="717"/>
      <c r="AH559" s="717"/>
      <c r="AI559" s="717"/>
      <c r="AJ559" s="717"/>
      <c r="AK559" s="717"/>
      <c r="AL559" s="717"/>
      <c r="AM559" s="717"/>
      <c r="AN559" s="717"/>
      <c r="AO559" s="717"/>
      <c r="AP559" s="717"/>
      <c r="AQ559" s="717"/>
      <c r="AR559" s="717"/>
    </row>
    <row r="560" spans="1:45" ht="4.5" customHeight="1" x14ac:dyDescent="0.3">
      <c r="A560" s="13"/>
      <c r="B560" s="69"/>
      <c r="C560" s="31"/>
      <c r="D560" s="31"/>
      <c r="E560" s="34"/>
      <c r="F560" s="31"/>
      <c r="G560" s="31"/>
      <c r="H560" s="31"/>
      <c r="I560" s="31"/>
      <c r="J560" s="31"/>
      <c r="K560" s="11"/>
      <c r="L560" s="212"/>
      <c r="M560" s="212"/>
      <c r="N560" s="212"/>
      <c r="O560" s="212"/>
      <c r="P560" s="212"/>
      <c r="Q560" s="212"/>
      <c r="R560" s="212"/>
      <c r="S560" s="212"/>
      <c r="T560" s="212"/>
      <c r="U560" s="212"/>
      <c r="V560" s="212"/>
      <c r="W560" s="212"/>
      <c r="X560" s="212"/>
      <c r="Y560" s="212"/>
      <c r="Z560" s="212"/>
      <c r="AA560" s="212"/>
      <c r="AB560" s="212"/>
      <c r="AC560" s="212"/>
      <c r="AD560" s="212"/>
      <c r="AE560" s="212"/>
      <c r="AF560" s="212"/>
      <c r="AG560" s="212"/>
      <c r="AH560" s="212"/>
      <c r="AI560" s="212"/>
      <c r="AJ560" s="212"/>
      <c r="AK560" s="212"/>
      <c r="AL560" s="212"/>
      <c r="AM560" s="212"/>
      <c r="AN560" s="212"/>
      <c r="AO560" s="212"/>
      <c r="AP560" s="212"/>
      <c r="AQ560" s="212"/>
      <c r="AR560" s="212"/>
    </row>
    <row r="561" spans="1:44" ht="61.5" customHeight="1" x14ac:dyDescent="0.3">
      <c r="A561" s="13" t="s">
        <v>265</v>
      </c>
      <c r="B561" s="69"/>
      <c r="C561" s="31"/>
      <c r="D561" s="31"/>
      <c r="E561" s="32"/>
      <c r="F561" s="33"/>
      <c r="G561" s="31"/>
      <c r="H561" s="31"/>
      <c r="I561" s="31"/>
      <c r="J561" s="31"/>
      <c r="K561" s="11"/>
      <c r="L561" s="717" t="s">
        <v>1986</v>
      </c>
      <c r="M561" s="717"/>
      <c r="N561" s="717"/>
      <c r="O561" s="717"/>
      <c r="P561" s="717"/>
      <c r="Q561" s="717"/>
      <c r="R561" s="717"/>
      <c r="S561" s="717"/>
      <c r="T561" s="717"/>
      <c r="U561" s="717"/>
      <c r="V561" s="717"/>
      <c r="W561" s="717"/>
      <c r="X561" s="717"/>
      <c r="Y561" s="717"/>
      <c r="Z561" s="717"/>
      <c r="AA561" s="717"/>
      <c r="AB561" s="717"/>
      <c r="AC561" s="717"/>
      <c r="AD561" s="717"/>
      <c r="AE561" s="717"/>
      <c r="AF561" s="717"/>
      <c r="AG561" s="717"/>
      <c r="AH561" s="717"/>
      <c r="AI561" s="717"/>
      <c r="AJ561" s="717"/>
      <c r="AK561" s="717"/>
      <c r="AL561" s="717"/>
      <c r="AM561" s="717"/>
      <c r="AN561" s="717"/>
      <c r="AO561" s="717"/>
      <c r="AP561" s="717"/>
      <c r="AQ561" s="717"/>
      <c r="AR561" s="717"/>
    </row>
    <row r="562" spans="1:44" ht="4.5" customHeight="1" x14ac:dyDescent="0.3">
      <c r="A562" s="13"/>
      <c r="B562" s="69"/>
      <c r="E562" s="35"/>
      <c r="K562" s="11"/>
      <c r="L562" s="212"/>
      <c r="M562" s="212"/>
      <c r="N562" s="212"/>
      <c r="O562" s="212"/>
      <c r="P562" s="212"/>
      <c r="Q562" s="212"/>
      <c r="R562" s="212"/>
      <c r="S562" s="212"/>
      <c r="T562" s="212"/>
      <c r="U562" s="212"/>
      <c r="V562" s="212"/>
      <c r="W562" s="212"/>
      <c r="X562" s="212"/>
      <c r="Y562" s="212"/>
      <c r="Z562" s="212"/>
      <c r="AA562" s="212"/>
      <c r="AB562" s="212"/>
      <c r="AC562" s="212"/>
      <c r="AD562" s="212"/>
      <c r="AE562" s="212"/>
      <c r="AF562" s="212"/>
      <c r="AG562" s="212"/>
      <c r="AH562" s="212"/>
      <c r="AI562" s="212"/>
      <c r="AJ562" s="212"/>
      <c r="AK562" s="212"/>
      <c r="AL562" s="212"/>
      <c r="AM562" s="212"/>
      <c r="AN562" s="212"/>
      <c r="AO562" s="212"/>
      <c r="AP562" s="212"/>
      <c r="AQ562" s="212"/>
      <c r="AR562" s="212"/>
    </row>
    <row r="563" spans="1:44" ht="38.25" customHeight="1" x14ac:dyDescent="0.3">
      <c r="A563" s="13" t="s">
        <v>266</v>
      </c>
      <c r="B563" s="69"/>
      <c r="E563" s="11"/>
      <c r="F563" s="3"/>
      <c r="K563" s="11"/>
      <c r="L563" s="717" t="s">
        <v>1169</v>
      </c>
      <c r="M563" s="717"/>
      <c r="N563" s="717"/>
      <c r="O563" s="717"/>
      <c r="P563" s="717"/>
      <c r="Q563" s="717"/>
      <c r="R563" s="717"/>
      <c r="S563" s="717"/>
      <c r="T563" s="717"/>
      <c r="U563" s="717"/>
      <c r="V563" s="717"/>
      <c r="W563" s="717"/>
      <c r="X563" s="717"/>
      <c r="Y563" s="717"/>
      <c r="Z563" s="717"/>
      <c r="AA563" s="717"/>
      <c r="AB563" s="717"/>
      <c r="AC563" s="717"/>
      <c r="AD563" s="717"/>
      <c r="AE563" s="717"/>
      <c r="AF563" s="717"/>
      <c r="AG563" s="717"/>
      <c r="AH563" s="717"/>
      <c r="AI563" s="717"/>
      <c r="AJ563" s="717"/>
      <c r="AK563" s="717"/>
      <c r="AL563" s="717"/>
      <c r="AM563" s="717"/>
      <c r="AN563" s="717"/>
      <c r="AO563" s="717"/>
      <c r="AP563" s="717"/>
      <c r="AQ563" s="717"/>
      <c r="AR563" s="717"/>
    </row>
    <row r="564" spans="1:44" ht="4.5" customHeight="1" x14ac:dyDescent="0.3">
      <c r="E564" s="11"/>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83"/>
      <c r="AN564" s="83"/>
      <c r="AO564" s="83"/>
      <c r="AP564" s="83"/>
      <c r="AQ564" s="83"/>
      <c r="AR564" s="83"/>
    </row>
    <row r="565" spans="1:44" x14ac:dyDescent="0.3">
      <c r="E565" s="11"/>
      <c r="F565" s="13" t="s">
        <v>700</v>
      </c>
      <c r="J565" s="706" t="str">
        <f>IF(calculations!M31,"describe corrective action proposed to correct any Red Flag or Yellow Flag ranking",IF(calculations!N31,"describe corrective action proposed to correct any Red Flag or Yellow Flag ranking","we changed the criteria"))</f>
        <v>we changed the criteria</v>
      </c>
      <c r="K565" s="707"/>
      <c r="L565" s="707"/>
      <c r="M565" s="707"/>
      <c r="N565" s="707"/>
      <c r="O565" s="707"/>
      <c r="P565" s="707"/>
      <c r="Q565" s="707"/>
      <c r="R565" s="707"/>
      <c r="S565" s="707"/>
      <c r="T565" s="707"/>
      <c r="U565" s="707"/>
      <c r="V565" s="707"/>
      <c r="W565" s="707"/>
      <c r="X565" s="707"/>
      <c r="Y565" s="707"/>
      <c r="Z565" s="707"/>
      <c r="AA565" s="707"/>
      <c r="AB565" s="707"/>
      <c r="AC565" s="707"/>
      <c r="AD565" s="707"/>
      <c r="AE565" s="707"/>
      <c r="AF565" s="707"/>
      <c r="AG565" s="707"/>
      <c r="AH565" s="707"/>
      <c r="AI565" s="707"/>
      <c r="AJ565" s="707"/>
      <c r="AK565" s="707"/>
      <c r="AL565" s="707"/>
      <c r="AM565" s="707"/>
      <c r="AN565" s="707"/>
      <c r="AO565" s="707"/>
      <c r="AP565" s="707"/>
      <c r="AQ565" s="707"/>
      <c r="AR565" s="708"/>
    </row>
    <row r="566" spans="1:44" ht="4.5" customHeight="1" x14ac:dyDescent="0.3">
      <c r="E566" s="11"/>
      <c r="G566" s="38"/>
      <c r="J566" s="214"/>
      <c r="K566" s="214"/>
      <c r="L566" s="214"/>
      <c r="M566" s="214"/>
      <c r="N566" s="214"/>
      <c r="O566" s="214"/>
      <c r="P566" s="214"/>
      <c r="Q566" s="214"/>
      <c r="R566" s="214"/>
      <c r="S566" s="214"/>
      <c r="T566" s="214"/>
      <c r="U566" s="214"/>
      <c r="V566" s="214"/>
      <c r="W566" s="214"/>
      <c r="X566" s="214"/>
      <c r="Y566" s="214"/>
      <c r="Z566" s="214"/>
      <c r="AA566" s="214"/>
      <c r="AB566" s="214"/>
      <c r="AC566" s="214"/>
      <c r="AD566" s="214"/>
      <c r="AE566" s="214"/>
      <c r="AF566" s="214"/>
      <c r="AG566" s="214"/>
      <c r="AH566" s="214"/>
      <c r="AI566" s="214"/>
      <c r="AJ566" s="214"/>
      <c r="AK566" s="214"/>
      <c r="AL566" s="214"/>
      <c r="AM566" s="214"/>
      <c r="AN566" s="214"/>
      <c r="AO566" s="214"/>
      <c r="AP566" s="214"/>
      <c r="AQ566" s="214"/>
      <c r="AR566" s="214"/>
    </row>
    <row r="567" spans="1:44" ht="52.5" customHeight="1" x14ac:dyDescent="0.3">
      <c r="E567" s="11"/>
      <c r="F567" s="55" t="str">
        <f>IF(J567&gt;"","REC",IF(calculations!M31,"REC",IF(calculations!N31,"REC","")))</f>
        <v/>
      </c>
      <c r="G567" s="38"/>
      <c r="J567" s="724" t="str">
        <f>IF(calculations!M31=TRUE,Rec!E54,IF(calculations!N31=TRUE,Rec!E55,""))</f>
        <v/>
      </c>
      <c r="K567" s="725"/>
      <c r="L567" s="725"/>
      <c r="M567" s="725"/>
      <c r="N567" s="725"/>
      <c r="O567" s="725"/>
      <c r="P567" s="725"/>
      <c r="Q567" s="725"/>
      <c r="R567" s="725"/>
      <c r="S567" s="725"/>
      <c r="T567" s="725"/>
      <c r="U567" s="725"/>
      <c r="V567" s="725"/>
      <c r="W567" s="725"/>
      <c r="X567" s="725"/>
      <c r="Y567" s="725"/>
      <c r="Z567" s="725"/>
      <c r="AA567" s="725"/>
      <c r="AB567" s="725"/>
      <c r="AC567" s="725"/>
      <c r="AD567" s="725"/>
      <c r="AE567" s="725"/>
      <c r="AF567" s="725"/>
      <c r="AG567" s="725"/>
      <c r="AH567" s="725"/>
      <c r="AI567" s="725"/>
      <c r="AJ567" s="725"/>
      <c r="AK567" s="725"/>
      <c r="AL567" s="725"/>
      <c r="AM567" s="725"/>
      <c r="AN567" s="725"/>
      <c r="AO567" s="725"/>
      <c r="AP567" s="725"/>
      <c r="AQ567" s="725"/>
      <c r="AR567" s="726"/>
    </row>
    <row r="568" spans="1:44" ht="13.5" customHeight="1" x14ac:dyDescent="0.3">
      <c r="E568" s="11"/>
      <c r="F568" s="37"/>
    </row>
    <row r="569" spans="1:44" ht="14.15" x14ac:dyDescent="0.35">
      <c r="A569" s="735">
        <v>3.5</v>
      </c>
      <c r="B569" s="735"/>
      <c r="D569" s="30" t="s">
        <v>173</v>
      </c>
      <c r="E569" s="11"/>
    </row>
    <row r="570" spans="1:44" ht="4.5" customHeight="1" x14ac:dyDescent="0.3">
      <c r="A570" s="13"/>
      <c r="B570" s="69"/>
      <c r="E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row>
    <row r="571" spans="1:44" ht="13.5" customHeight="1" x14ac:dyDescent="0.3">
      <c r="A571" s="13" t="s">
        <v>268</v>
      </c>
      <c r="B571" s="69"/>
      <c r="C571" s="31"/>
      <c r="D571" s="31"/>
      <c r="E571" s="32"/>
      <c r="F571" s="33"/>
      <c r="G571" s="31"/>
      <c r="H571" s="31"/>
      <c r="I571" s="31"/>
      <c r="J571" s="31"/>
      <c r="K571" s="11"/>
      <c r="L571" s="717" t="s">
        <v>1166</v>
      </c>
      <c r="M571" s="717"/>
      <c r="N571" s="717"/>
      <c r="O571" s="717"/>
      <c r="P571" s="717"/>
      <c r="Q571" s="717"/>
      <c r="R571" s="717"/>
      <c r="S571" s="717"/>
      <c r="T571" s="717"/>
      <c r="U571" s="717"/>
      <c r="V571" s="717"/>
      <c r="W571" s="717"/>
      <c r="X571" s="717"/>
      <c r="Y571" s="717"/>
      <c r="Z571" s="717"/>
      <c r="AA571" s="717"/>
      <c r="AB571" s="717"/>
      <c r="AC571" s="717"/>
      <c r="AD571" s="717"/>
      <c r="AE571" s="717"/>
      <c r="AF571" s="717"/>
      <c r="AG571" s="717"/>
      <c r="AH571" s="717"/>
      <c r="AI571" s="717"/>
      <c r="AJ571" s="717"/>
      <c r="AK571" s="717"/>
      <c r="AL571" s="717"/>
      <c r="AM571" s="717"/>
      <c r="AN571" s="717"/>
      <c r="AO571" s="717"/>
      <c r="AP571" s="717"/>
      <c r="AQ571" s="717"/>
      <c r="AR571" s="717"/>
    </row>
    <row r="572" spans="1:44" ht="4.5" customHeight="1" x14ac:dyDescent="0.3">
      <c r="A572" s="13"/>
      <c r="B572" s="69"/>
      <c r="C572" s="31"/>
      <c r="D572" s="31"/>
      <c r="E572" s="34"/>
      <c r="F572" s="31"/>
      <c r="G572" s="31"/>
      <c r="H572" s="31"/>
      <c r="I572" s="31"/>
      <c r="J572" s="31"/>
      <c r="K572" s="11"/>
      <c r="L572" s="212"/>
      <c r="M572" s="212"/>
      <c r="N572" s="212"/>
      <c r="O572" s="212"/>
      <c r="P572" s="212"/>
      <c r="Q572" s="212"/>
      <c r="R572" s="212"/>
      <c r="S572" s="212"/>
      <c r="T572" s="212"/>
      <c r="U572" s="212"/>
      <c r="V572" s="212"/>
      <c r="W572" s="212"/>
      <c r="X572" s="212"/>
      <c r="Y572" s="212"/>
      <c r="Z572" s="212"/>
      <c r="AA572" s="212"/>
      <c r="AB572" s="212"/>
      <c r="AC572" s="212"/>
      <c r="AD572" s="212"/>
      <c r="AE572" s="212"/>
      <c r="AF572" s="212"/>
      <c r="AG572" s="212"/>
      <c r="AH572" s="212"/>
      <c r="AI572" s="212"/>
      <c r="AJ572" s="212"/>
      <c r="AK572" s="212"/>
      <c r="AL572" s="212"/>
      <c r="AM572" s="212"/>
      <c r="AN572" s="212"/>
      <c r="AO572" s="212"/>
      <c r="AP572" s="212"/>
      <c r="AQ572" s="212"/>
      <c r="AR572" s="212"/>
    </row>
    <row r="573" spans="1:44" ht="51" customHeight="1" x14ac:dyDescent="0.3">
      <c r="A573" s="13" t="s">
        <v>269</v>
      </c>
      <c r="B573" s="69"/>
      <c r="C573" s="31"/>
      <c r="D573" s="31"/>
      <c r="E573" s="32"/>
      <c r="F573" s="33"/>
      <c r="G573" s="31"/>
      <c r="H573" s="31"/>
      <c r="I573" s="31"/>
      <c r="J573" s="31"/>
      <c r="K573" s="11"/>
      <c r="L573" s="717" t="str">
        <f>IF(calculations!B3=1,forms!A252,forms!A251)</f>
        <v>1)  PLATINUM MEDAL expanded to cover all vehicles. 
2)  Documented pre- and post-trip inspections of all vehicles. 
3)  Documented annual safety checks of all vehicles. 
4)  A single association staff member responsible for and monitoring branch level oversight.</v>
      </c>
      <c r="M573" s="717"/>
      <c r="N573" s="717"/>
      <c r="O573" s="717"/>
      <c r="P573" s="717"/>
      <c r="Q573" s="717"/>
      <c r="R573" s="717"/>
      <c r="S573" s="717"/>
      <c r="T573" s="717"/>
      <c r="U573" s="717"/>
      <c r="V573" s="717"/>
      <c r="W573" s="717"/>
      <c r="X573" s="717"/>
      <c r="Y573" s="717"/>
      <c r="Z573" s="717"/>
      <c r="AA573" s="717"/>
      <c r="AB573" s="717"/>
      <c r="AC573" s="717"/>
      <c r="AD573" s="717"/>
      <c r="AE573" s="717"/>
      <c r="AF573" s="717"/>
      <c r="AG573" s="717"/>
      <c r="AH573" s="717"/>
      <c r="AI573" s="717"/>
      <c r="AJ573" s="717"/>
      <c r="AK573" s="717"/>
      <c r="AL573" s="717"/>
      <c r="AM573" s="717"/>
      <c r="AN573" s="717"/>
      <c r="AO573" s="717"/>
      <c r="AP573" s="717"/>
      <c r="AQ573" s="717"/>
      <c r="AR573" s="717"/>
    </row>
    <row r="574" spans="1:44" ht="4.5" customHeight="1" x14ac:dyDescent="0.3">
      <c r="A574" s="13"/>
      <c r="B574" s="69"/>
      <c r="C574" s="31"/>
      <c r="D574" s="31"/>
      <c r="E574" s="32"/>
      <c r="F574" s="33"/>
      <c r="G574" s="31"/>
      <c r="H574" s="31"/>
      <c r="I574" s="31"/>
      <c r="J574" s="31"/>
      <c r="K574" s="11"/>
      <c r="L574" s="212"/>
      <c r="M574" s="212"/>
      <c r="N574" s="212"/>
      <c r="O574" s="212"/>
      <c r="P574" s="212"/>
      <c r="Q574" s="212"/>
      <c r="R574" s="212"/>
      <c r="S574" s="212"/>
      <c r="T574" s="212"/>
      <c r="U574" s="212"/>
      <c r="V574" s="212"/>
      <c r="W574" s="212"/>
      <c r="X574" s="212"/>
      <c r="Y574" s="212"/>
      <c r="Z574" s="212"/>
      <c r="AA574" s="212"/>
      <c r="AB574" s="212"/>
      <c r="AC574" s="212"/>
      <c r="AD574" s="212"/>
      <c r="AE574" s="212"/>
      <c r="AF574" s="212"/>
      <c r="AG574" s="212"/>
      <c r="AH574" s="212"/>
      <c r="AI574" s="212"/>
      <c r="AJ574" s="212"/>
      <c r="AK574" s="212"/>
      <c r="AL574" s="212"/>
      <c r="AM574" s="212"/>
      <c r="AN574" s="212"/>
      <c r="AO574" s="212"/>
      <c r="AP574" s="212"/>
      <c r="AQ574" s="212"/>
      <c r="AR574" s="212"/>
    </row>
    <row r="575" spans="1:44" ht="61.5" customHeight="1" x14ac:dyDescent="0.3">
      <c r="A575" s="13" t="s">
        <v>270</v>
      </c>
      <c r="B575" s="69"/>
      <c r="C575" s="31"/>
      <c r="D575" s="31"/>
      <c r="E575" s="34"/>
      <c r="F575" s="31"/>
      <c r="G575" s="31"/>
      <c r="H575" s="31"/>
      <c r="I575" s="31"/>
      <c r="J575" s="31"/>
      <c r="K575" s="11"/>
      <c r="L575" s="717" t="s">
        <v>1172</v>
      </c>
      <c r="M575" s="717"/>
      <c r="N575" s="717"/>
      <c r="O575" s="717"/>
      <c r="P575" s="717"/>
      <c r="Q575" s="717"/>
      <c r="R575" s="717"/>
      <c r="S575" s="717"/>
      <c r="T575" s="717"/>
      <c r="U575" s="717"/>
      <c r="V575" s="717"/>
      <c r="W575" s="717"/>
      <c r="X575" s="717"/>
      <c r="Y575" s="717"/>
      <c r="Z575" s="717"/>
      <c r="AA575" s="717"/>
      <c r="AB575" s="717"/>
      <c r="AC575" s="717"/>
      <c r="AD575" s="717"/>
      <c r="AE575" s="717"/>
      <c r="AF575" s="717"/>
      <c r="AG575" s="717"/>
      <c r="AH575" s="717"/>
      <c r="AI575" s="717"/>
      <c r="AJ575" s="717"/>
      <c r="AK575" s="717"/>
      <c r="AL575" s="717"/>
      <c r="AM575" s="717"/>
      <c r="AN575" s="717"/>
      <c r="AO575" s="717"/>
      <c r="AP575" s="717"/>
      <c r="AQ575" s="717"/>
      <c r="AR575" s="717"/>
    </row>
    <row r="576" spans="1:44" ht="4.5" customHeight="1" x14ac:dyDescent="0.3">
      <c r="A576" s="13"/>
      <c r="B576" s="69"/>
      <c r="C576" s="31"/>
      <c r="D576" s="31"/>
      <c r="E576" s="34"/>
      <c r="F576" s="31"/>
      <c r="G576" s="31"/>
      <c r="H576" s="31"/>
      <c r="I576" s="31"/>
      <c r="J576" s="31"/>
      <c r="K576" s="11"/>
      <c r="L576" s="212"/>
      <c r="M576" s="212"/>
      <c r="N576" s="212"/>
      <c r="O576" s="212"/>
      <c r="P576" s="212"/>
      <c r="Q576" s="212"/>
      <c r="R576" s="212"/>
      <c r="S576" s="212"/>
      <c r="T576" s="212"/>
      <c r="U576" s="212"/>
      <c r="V576" s="212"/>
      <c r="W576" s="212"/>
      <c r="X576" s="212"/>
      <c r="Y576" s="212"/>
      <c r="Z576" s="212"/>
      <c r="AA576" s="212"/>
      <c r="AB576" s="212"/>
      <c r="AC576" s="212"/>
      <c r="AD576" s="212"/>
      <c r="AE576" s="212"/>
      <c r="AF576" s="212"/>
      <c r="AG576" s="212"/>
      <c r="AH576" s="212"/>
      <c r="AI576" s="212"/>
      <c r="AJ576" s="212"/>
      <c r="AK576" s="212"/>
      <c r="AL576" s="212"/>
      <c r="AM576" s="212"/>
      <c r="AN576" s="212"/>
      <c r="AO576" s="212"/>
      <c r="AP576" s="212"/>
      <c r="AQ576" s="212"/>
      <c r="AR576" s="212"/>
    </row>
    <row r="577" spans="1:45" ht="26.25" customHeight="1" x14ac:dyDescent="0.3">
      <c r="A577" s="13" t="s">
        <v>271</v>
      </c>
      <c r="B577" s="69"/>
      <c r="C577" s="31"/>
      <c r="D577" s="31"/>
      <c r="E577" s="32"/>
      <c r="F577" s="33"/>
      <c r="G577" s="31"/>
      <c r="H577" s="31"/>
      <c r="I577" s="31"/>
      <c r="J577" s="31"/>
      <c r="K577" s="11"/>
      <c r="L577" s="717" t="s">
        <v>1814</v>
      </c>
      <c r="M577" s="717"/>
      <c r="N577" s="717"/>
      <c r="O577" s="717"/>
      <c r="P577" s="717"/>
      <c r="Q577" s="717"/>
      <c r="R577" s="717"/>
      <c r="S577" s="717"/>
      <c r="T577" s="717"/>
      <c r="U577" s="717"/>
      <c r="V577" s="717"/>
      <c r="W577" s="717"/>
      <c r="X577" s="717"/>
      <c r="Y577" s="717"/>
      <c r="Z577" s="717"/>
      <c r="AA577" s="717"/>
      <c r="AB577" s="717"/>
      <c r="AC577" s="717"/>
      <c r="AD577" s="717"/>
      <c r="AE577" s="717"/>
      <c r="AF577" s="717"/>
      <c r="AG577" s="717"/>
      <c r="AH577" s="717"/>
      <c r="AI577" s="717"/>
      <c r="AJ577" s="717"/>
      <c r="AK577" s="717"/>
      <c r="AL577" s="717"/>
      <c r="AM577" s="717"/>
      <c r="AN577" s="717"/>
      <c r="AO577" s="717"/>
      <c r="AP577" s="717"/>
      <c r="AQ577" s="717"/>
      <c r="AR577" s="717"/>
    </row>
    <row r="578" spans="1:45" ht="4.5" customHeight="1" x14ac:dyDescent="0.3">
      <c r="A578" s="13"/>
      <c r="B578" s="69"/>
      <c r="E578" s="35"/>
      <c r="K578" s="11"/>
      <c r="L578" s="212"/>
      <c r="M578" s="212"/>
      <c r="N578" s="212"/>
      <c r="O578" s="212"/>
      <c r="P578" s="212"/>
      <c r="Q578" s="212"/>
      <c r="R578" s="212"/>
      <c r="S578" s="212"/>
      <c r="T578" s="212"/>
      <c r="U578" s="212"/>
      <c r="V578" s="212"/>
      <c r="W578" s="212"/>
      <c r="X578" s="212"/>
      <c r="Y578" s="212"/>
      <c r="Z578" s="212"/>
      <c r="AA578" s="212"/>
      <c r="AB578" s="212"/>
      <c r="AC578" s="212"/>
      <c r="AD578" s="212"/>
      <c r="AE578" s="212"/>
      <c r="AF578" s="212"/>
      <c r="AG578" s="212"/>
      <c r="AH578" s="212"/>
      <c r="AI578" s="212"/>
      <c r="AJ578" s="212"/>
      <c r="AK578" s="212"/>
      <c r="AL578" s="212"/>
      <c r="AM578" s="212"/>
      <c r="AN578" s="212"/>
      <c r="AO578" s="212"/>
      <c r="AP578" s="212"/>
      <c r="AQ578" s="212"/>
      <c r="AR578" s="212"/>
    </row>
    <row r="579" spans="1:45" ht="26.25" customHeight="1" x14ac:dyDescent="0.3">
      <c r="A579" s="13" t="s">
        <v>272</v>
      </c>
      <c r="B579" s="69"/>
      <c r="E579" s="11"/>
      <c r="F579" s="3"/>
      <c r="K579" s="11"/>
      <c r="L579" s="717" t="s">
        <v>1171</v>
      </c>
      <c r="M579" s="717"/>
      <c r="N579" s="717"/>
      <c r="O579" s="717"/>
      <c r="P579" s="717"/>
      <c r="Q579" s="717"/>
      <c r="R579" s="717"/>
      <c r="S579" s="717"/>
      <c r="T579" s="717"/>
      <c r="U579" s="717"/>
      <c r="V579" s="717"/>
      <c r="W579" s="717"/>
      <c r="X579" s="717"/>
      <c r="Y579" s="717"/>
      <c r="Z579" s="717"/>
      <c r="AA579" s="717"/>
      <c r="AB579" s="717"/>
      <c r="AC579" s="717"/>
      <c r="AD579" s="717"/>
      <c r="AE579" s="717"/>
      <c r="AF579" s="717"/>
      <c r="AG579" s="717"/>
      <c r="AH579" s="717"/>
      <c r="AI579" s="717"/>
      <c r="AJ579" s="717"/>
      <c r="AK579" s="717"/>
      <c r="AL579" s="717"/>
      <c r="AM579" s="717"/>
      <c r="AN579" s="717"/>
      <c r="AO579" s="717"/>
      <c r="AP579" s="717"/>
      <c r="AQ579" s="717"/>
      <c r="AR579" s="717"/>
    </row>
    <row r="580" spans="1:45" ht="4.5" customHeight="1" x14ac:dyDescent="0.3">
      <c r="A580" s="13"/>
      <c r="B580" s="69"/>
      <c r="E580" s="11"/>
      <c r="K580" s="11"/>
      <c r="L580" s="212"/>
      <c r="M580" s="212"/>
      <c r="N580" s="212"/>
      <c r="O580" s="212"/>
      <c r="P580" s="212"/>
      <c r="Q580" s="212"/>
      <c r="R580" s="212"/>
      <c r="S580" s="212"/>
      <c r="T580" s="212"/>
      <c r="U580" s="212"/>
      <c r="V580" s="212"/>
      <c r="W580" s="212"/>
      <c r="X580" s="212"/>
      <c r="Y580" s="212"/>
      <c r="Z580" s="212"/>
      <c r="AA580" s="212"/>
      <c r="AB580" s="212"/>
      <c r="AC580" s="212"/>
      <c r="AD580" s="212"/>
      <c r="AE580" s="212"/>
      <c r="AF580" s="212"/>
      <c r="AG580" s="212"/>
      <c r="AH580" s="212"/>
      <c r="AI580" s="212"/>
      <c r="AJ580" s="212"/>
      <c r="AK580" s="212"/>
      <c r="AL580" s="212"/>
      <c r="AM580" s="212"/>
      <c r="AN580" s="212"/>
      <c r="AO580" s="212"/>
      <c r="AP580" s="212"/>
      <c r="AQ580" s="212"/>
      <c r="AR580" s="212"/>
    </row>
    <row r="581" spans="1:45" ht="26.25" customHeight="1" x14ac:dyDescent="0.3">
      <c r="A581" s="13" t="s">
        <v>358</v>
      </c>
      <c r="B581" s="69"/>
      <c r="E581" s="2"/>
      <c r="F581" s="3"/>
      <c r="K581" s="11"/>
      <c r="L581" s="717" t="s">
        <v>1170</v>
      </c>
      <c r="M581" s="717"/>
      <c r="N581" s="717"/>
      <c r="O581" s="717"/>
      <c r="P581" s="717"/>
      <c r="Q581" s="717"/>
      <c r="R581" s="717"/>
      <c r="S581" s="717"/>
      <c r="T581" s="717"/>
      <c r="U581" s="717"/>
      <c r="V581" s="717"/>
      <c r="W581" s="717"/>
      <c r="X581" s="717"/>
      <c r="Y581" s="717"/>
      <c r="Z581" s="717"/>
      <c r="AA581" s="717"/>
      <c r="AB581" s="717"/>
      <c r="AC581" s="717"/>
      <c r="AD581" s="717"/>
      <c r="AE581" s="717"/>
      <c r="AF581" s="717"/>
      <c r="AG581" s="717"/>
      <c r="AH581" s="717"/>
      <c r="AI581" s="717"/>
      <c r="AJ581" s="717"/>
      <c r="AK581" s="717"/>
      <c r="AL581" s="717"/>
      <c r="AM581" s="717"/>
      <c r="AN581" s="717"/>
      <c r="AO581" s="717"/>
      <c r="AP581" s="717"/>
      <c r="AQ581" s="717"/>
      <c r="AR581" s="717"/>
    </row>
    <row r="582" spans="1:45" ht="4.5" customHeight="1" x14ac:dyDescent="0.3">
      <c r="E582" s="11"/>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3"/>
      <c r="AI582" s="83"/>
      <c r="AJ582" s="83"/>
      <c r="AK582" s="83"/>
      <c r="AL582" s="83"/>
      <c r="AM582" s="83"/>
      <c r="AN582" s="83"/>
      <c r="AO582" s="83"/>
      <c r="AP582" s="83"/>
      <c r="AQ582" s="83"/>
      <c r="AR582" s="83"/>
    </row>
    <row r="583" spans="1:45" x14ac:dyDescent="0.3">
      <c r="E583" s="11"/>
      <c r="F583" s="13" t="s">
        <v>700</v>
      </c>
      <c r="J583" s="706" t="str">
        <f>IF(calculations!M32,"describe corrective action proposed to correct any Red Flag or Yellow Flag ranking",IF(calculations!N32,"describe corrective action proposed to correct any Red Flag or Yellow Flag ranking",""))</f>
        <v/>
      </c>
      <c r="K583" s="707"/>
      <c r="L583" s="707"/>
      <c r="M583" s="707"/>
      <c r="N583" s="707"/>
      <c r="O583" s="707"/>
      <c r="P583" s="707"/>
      <c r="Q583" s="707"/>
      <c r="R583" s="707"/>
      <c r="S583" s="707"/>
      <c r="T583" s="707"/>
      <c r="U583" s="707"/>
      <c r="V583" s="707"/>
      <c r="W583" s="707"/>
      <c r="X583" s="707"/>
      <c r="Y583" s="707"/>
      <c r="Z583" s="707"/>
      <c r="AA583" s="707"/>
      <c r="AB583" s="707"/>
      <c r="AC583" s="707"/>
      <c r="AD583" s="707"/>
      <c r="AE583" s="707"/>
      <c r="AF583" s="707"/>
      <c r="AG583" s="707"/>
      <c r="AH583" s="707"/>
      <c r="AI583" s="707"/>
      <c r="AJ583" s="707"/>
      <c r="AK583" s="707"/>
      <c r="AL583" s="707"/>
      <c r="AM583" s="707"/>
      <c r="AN583" s="707"/>
      <c r="AO583" s="707"/>
      <c r="AP583" s="707"/>
      <c r="AQ583" s="707"/>
      <c r="AR583" s="708"/>
    </row>
    <row r="584" spans="1:45" ht="4.5" customHeight="1" x14ac:dyDescent="0.3">
      <c r="E584" s="11"/>
      <c r="G584" s="38"/>
      <c r="J584" s="214"/>
      <c r="K584" s="214"/>
      <c r="L584" s="214"/>
      <c r="M584" s="214"/>
      <c r="N584" s="214"/>
      <c r="O584" s="214"/>
      <c r="P584" s="214"/>
      <c r="Q584" s="214"/>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c r="AR584" s="214"/>
    </row>
    <row r="585" spans="1:45" ht="27.75" customHeight="1" x14ac:dyDescent="0.3">
      <c r="E585" s="11"/>
      <c r="F585" s="55" t="str">
        <f>IF(calculations!M32,"OFE",IF(calculations!N32,"REC",IF(J585&gt;"","REC","")))</f>
        <v/>
      </c>
      <c r="G585" s="38"/>
      <c r="J585" s="724" t="str">
        <f>IF(calculations!M32=TRUE,CONCATENATE("OFE:  ",Rec!E56),IF(calculations!N32=TRUE,Rec!E57,""))</f>
        <v/>
      </c>
      <c r="K585" s="725"/>
      <c r="L585" s="725"/>
      <c r="M585" s="725"/>
      <c r="N585" s="725"/>
      <c r="O585" s="725"/>
      <c r="P585" s="725"/>
      <c r="Q585" s="725"/>
      <c r="R585" s="725"/>
      <c r="S585" s="725"/>
      <c r="T585" s="725"/>
      <c r="U585" s="725"/>
      <c r="V585" s="725"/>
      <c r="W585" s="725"/>
      <c r="X585" s="725"/>
      <c r="Y585" s="725"/>
      <c r="Z585" s="725"/>
      <c r="AA585" s="725"/>
      <c r="AB585" s="725"/>
      <c r="AC585" s="725"/>
      <c r="AD585" s="725"/>
      <c r="AE585" s="725"/>
      <c r="AF585" s="725"/>
      <c r="AG585" s="725"/>
      <c r="AH585" s="725"/>
      <c r="AI585" s="725"/>
      <c r="AJ585" s="725"/>
      <c r="AK585" s="725"/>
      <c r="AL585" s="725"/>
      <c r="AM585" s="725"/>
      <c r="AN585" s="725"/>
      <c r="AO585" s="725"/>
      <c r="AP585" s="725"/>
      <c r="AQ585" s="725"/>
      <c r="AR585" s="726"/>
    </row>
    <row r="586" spans="1:45" ht="13.5" customHeight="1" x14ac:dyDescent="0.3">
      <c r="E586" s="11"/>
      <c r="F586" s="37"/>
    </row>
    <row r="587" spans="1:45" ht="23.25" customHeight="1" x14ac:dyDescent="0.6">
      <c r="A587" s="740" t="s">
        <v>359</v>
      </c>
      <c r="B587" s="741"/>
      <c r="C587" s="741"/>
      <c r="D587" s="741"/>
      <c r="E587" s="741"/>
      <c r="F587" s="741"/>
      <c r="G587" s="741"/>
      <c r="H587" s="741"/>
      <c r="I587" s="741"/>
      <c r="J587" s="741"/>
      <c r="K587" s="741"/>
      <c r="L587" s="741"/>
      <c r="M587" s="741"/>
      <c r="N587" s="741"/>
      <c r="O587" s="741"/>
      <c r="P587" s="741"/>
      <c r="Q587" s="741"/>
      <c r="R587" s="741"/>
      <c r="S587" s="741"/>
      <c r="T587" s="741"/>
      <c r="U587" s="741"/>
      <c r="V587" s="741"/>
      <c r="W587" s="741"/>
      <c r="X587" s="741"/>
      <c r="Y587" s="741"/>
      <c r="Z587" s="741"/>
      <c r="AA587" s="741"/>
      <c r="AB587" s="741"/>
      <c r="AC587" s="741"/>
      <c r="AD587" s="741"/>
      <c r="AE587" s="741"/>
      <c r="AF587" s="741"/>
      <c r="AG587" s="741"/>
      <c r="AH587" s="741"/>
      <c r="AI587" s="741"/>
      <c r="AJ587" s="741"/>
      <c r="AK587" s="741"/>
      <c r="AL587" s="741"/>
      <c r="AM587" s="741"/>
      <c r="AN587" s="741"/>
      <c r="AO587" s="741"/>
      <c r="AP587" s="741"/>
      <c r="AQ587" s="741"/>
      <c r="AR587" s="741"/>
      <c r="AS587" s="20"/>
    </row>
    <row r="588" spans="1:45" x14ac:dyDescent="0.3">
      <c r="F588" s="11"/>
      <c r="AC588" s="691" t="s">
        <v>693</v>
      </c>
      <c r="AD588" s="692"/>
      <c r="AE588" s="692"/>
      <c r="AF588" s="692"/>
      <c r="AG588" s="692"/>
      <c r="AH588" s="693"/>
      <c r="AJ588" s="691" t="s">
        <v>694</v>
      </c>
      <c r="AK588" s="692"/>
      <c r="AL588" s="692"/>
      <c r="AM588" s="692"/>
      <c r="AN588" s="692"/>
      <c r="AO588" s="692"/>
      <c r="AP588" s="692"/>
      <c r="AQ588" s="692"/>
      <c r="AR588" s="693"/>
      <c r="AS588" s="20"/>
    </row>
    <row r="589" spans="1:45" x14ac:dyDescent="0.3">
      <c r="F589" s="11"/>
      <c r="AJ589" s="737" t="s">
        <v>695</v>
      </c>
      <c r="AK589" s="738"/>
      <c r="AL589" s="738"/>
      <c r="AM589" s="738"/>
      <c r="AN589" s="738"/>
      <c r="AO589" s="738"/>
      <c r="AP589" s="738"/>
      <c r="AQ589" s="738"/>
      <c r="AR589" s="739"/>
      <c r="AS589" s="20"/>
    </row>
    <row r="590" spans="1:45" x14ac:dyDescent="0.3">
      <c r="E590" s="11"/>
      <c r="AS590" s="20"/>
    </row>
    <row r="591" spans="1:45" ht="14.15" x14ac:dyDescent="0.35">
      <c r="A591" s="735">
        <v>4.0999999999999996</v>
      </c>
      <c r="B591" s="735"/>
      <c r="D591" s="30" t="s">
        <v>736</v>
      </c>
      <c r="E591" s="11"/>
      <c r="AS591" s="20"/>
    </row>
    <row r="592" spans="1:45" ht="4.5" customHeight="1" x14ac:dyDescent="0.3">
      <c r="A592" s="13"/>
      <c r="B592" s="69"/>
      <c r="E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20"/>
    </row>
    <row r="593" spans="1:45" ht="39" customHeight="1" x14ac:dyDescent="0.3">
      <c r="A593" s="13" t="s">
        <v>274</v>
      </c>
      <c r="B593" s="69"/>
      <c r="C593" s="31"/>
      <c r="D593" s="31"/>
      <c r="E593" s="32"/>
      <c r="F593" s="33"/>
      <c r="G593" s="31"/>
      <c r="H593" s="31"/>
      <c r="I593" s="31"/>
      <c r="J593" s="215"/>
      <c r="K593" s="212"/>
      <c r="L593" s="717" t="s">
        <v>1182</v>
      </c>
      <c r="M593" s="717"/>
      <c r="N593" s="717"/>
      <c r="O593" s="717"/>
      <c r="P593" s="717"/>
      <c r="Q593" s="717"/>
      <c r="R593" s="717"/>
      <c r="S593" s="717"/>
      <c r="T593" s="717"/>
      <c r="U593" s="717"/>
      <c r="V593" s="717"/>
      <c r="W593" s="717"/>
      <c r="X593" s="717"/>
      <c r="Y593" s="717"/>
      <c r="Z593" s="717"/>
      <c r="AA593" s="717"/>
      <c r="AB593" s="717"/>
      <c r="AC593" s="717"/>
      <c r="AD593" s="717"/>
      <c r="AE593" s="717"/>
      <c r="AF593" s="717"/>
      <c r="AG593" s="717"/>
      <c r="AH593" s="717"/>
      <c r="AI593" s="717"/>
      <c r="AJ593" s="717"/>
      <c r="AK593" s="717"/>
      <c r="AL593" s="717"/>
      <c r="AM593" s="717"/>
      <c r="AN593" s="717"/>
      <c r="AO593" s="717"/>
      <c r="AP593" s="717"/>
      <c r="AQ593" s="717"/>
      <c r="AR593" s="717"/>
      <c r="AS593" s="20"/>
    </row>
    <row r="594" spans="1:45" ht="13.5" hidden="1" customHeight="1" x14ac:dyDescent="0.3">
      <c r="A594" s="13"/>
      <c r="B594" s="69"/>
      <c r="C594" s="31"/>
      <c r="D594" s="31"/>
      <c r="E594" s="34"/>
      <c r="F594" s="31"/>
      <c r="G594" s="31"/>
      <c r="H594" s="31"/>
      <c r="I594" s="31"/>
      <c r="J594" s="215"/>
      <c r="K594" s="212"/>
      <c r="L594" s="717"/>
      <c r="M594" s="717"/>
      <c r="N594" s="717"/>
      <c r="O594" s="717"/>
      <c r="P594" s="717"/>
      <c r="Q594" s="717"/>
      <c r="R594" s="717"/>
      <c r="S594" s="717"/>
      <c r="T594" s="717"/>
      <c r="U594" s="717"/>
      <c r="V594" s="717"/>
      <c r="W594" s="717"/>
      <c r="X594" s="717"/>
      <c r="Y594" s="717"/>
      <c r="Z594" s="717"/>
      <c r="AA594" s="717"/>
      <c r="AB594" s="717"/>
      <c r="AC594" s="717"/>
      <c r="AD594" s="717"/>
      <c r="AE594" s="717"/>
      <c r="AF594" s="717"/>
      <c r="AG594" s="717"/>
      <c r="AH594" s="717"/>
      <c r="AI594" s="717"/>
      <c r="AJ594" s="717"/>
      <c r="AK594" s="717"/>
      <c r="AL594" s="717"/>
      <c r="AM594" s="717"/>
      <c r="AN594" s="717"/>
      <c r="AO594" s="717"/>
      <c r="AP594" s="717"/>
      <c r="AQ594" s="717"/>
      <c r="AR594" s="717"/>
      <c r="AS594" s="20"/>
    </row>
    <row r="595" spans="1:45" ht="4.5" customHeight="1" x14ac:dyDescent="0.3">
      <c r="A595" s="13"/>
      <c r="B595" s="69"/>
      <c r="C595" s="31"/>
      <c r="D595" s="31"/>
      <c r="E595" s="32"/>
      <c r="F595" s="33"/>
      <c r="G595" s="31"/>
      <c r="H595" s="31"/>
      <c r="I595" s="31"/>
      <c r="J595" s="215"/>
      <c r="K595" s="212"/>
      <c r="L595" s="212"/>
      <c r="M595" s="212"/>
      <c r="N595" s="212"/>
      <c r="O595" s="212"/>
      <c r="P595" s="212"/>
      <c r="Q595" s="212"/>
      <c r="R595" s="212"/>
      <c r="S595" s="212"/>
      <c r="T595" s="212"/>
      <c r="U595" s="212"/>
      <c r="V595" s="212"/>
      <c r="W595" s="212"/>
      <c r="X595" s="212"/>
      <c r="Y595" s="212"/>
      <c r="Z595" s="212"/>
      <c r="AA595" s="212"/>
      <c r="AB595" s="212"/>
      <c r="AC595" s="212"/>
      <c r="AD595" s="212"/>
      <c r="AE595" s="212"/>
      <c r="AF595" s="212"/>
      <c r="AG595" s="212"/>
      <c r="AH595" s="212"/>
      <c r="AI595" s="212"/>
      <c r="AJ595" s="212"/>
      <c r="AK595" s="212"/>
      <c r="AL595" s="212"/>
      <c r="AM595" s="212"/>
      <c r="AN595" s="212"/>
      <c r="AO595" s="212"/>
      <c r="AP595" s="212"/>
      <c r="AQ595" s="212"/>
      <c r="AR595" s="212"/>
      <c r="AS595" s="20"/>
    </row>
    <row r="596" spans="1:45" ht="111.75" customHeight="1" x14ac:dyDescent="0.3">
      <c r="A596" s="13" t="s">
        <v>275</v>
      </c>
      <c r="B596" s="69"/>
      <c r="C596" s="31"/>
      <c r="D596" s="31"/>
      <c r="E596" s="32"/>
      <c r="F596" s="33"/>
      <c r="G596" s="31"/>
      <c r="H596" s="31"/>
      <c r="I596" s="31"/>
      <c r="J596" s="215"/>
      <c r="K596" s="212"/>
      <c r="L596" s="742" t="str">
        <f>IF(calculations!B3=1,forms!A273,forms!A274)</f>
        <v>1) GOLD MEDAL plus members and program participants (or their parents/guardians) sign a similar document. 
2) High-risk activities (e.g., challenge courses, climbing walls, rock climbing, horse riding, archery, marksmanship, boating, skateboarding, in-line skating, BMX riding, mountain biking, cycling, etc.) include informed consent wording specific to the activity.
     OR, if the explanatory box below is applicable
1) Assumption of risk and informed consent agreements are required of all adult members and guests. 
2) Each adult's identity is verified using YMCA, government, or school issued photo ID.</v>
      </c>
      <c r="M596" s="742"/>
      <c r="N596" s="742"/>
      <c r="O596" s="742"/>
      <c r="P596" s="742"/>
      <c r="Q596" s="742"/>
      <c r="R596" s="742"/>
      <c r="S596" s="742"/>
      <c r="T596" s="742"/>
      <c r="U596" s="742"/>
      <c r="V596" s="742"/>
      <c r="W596" s="742"/>
      <c r="X596" s="742"/>
      <c r="Y596" s="742"/>
      <c r="Z596" s="742"/>
      <c r="AA596" s="742"/>
      <c r="AB596" s="742"/>
      <c r="AC596" s="742"/>
      <c r="AD596" s="742"/>
      <c r="AE596" s="742"/>
      <c r="AF596" s="742"/>
      <c r="AG596" s="742"/>
      <c r="AH596" s="742"/>
      <c r="AI596" s="742"/>
      <c r="AJ596" s="742"/>
      <c r="AK596" s="742"/>
      <c r="AL596" s="742"/>
      <c r="AM596" s="742"/>
      <c r="AN596" s="742"/>
      <c r="AO596" s="742"/>
      <c r="AP596" s="742"/>
      <c r="AQ596" s="742"/>
      <c r="AR596" s="742"/>
      <c r="AS596" s="20"/>
    </row>
    <row r="597" spans="1:45" ht="13.5" hidden="1" customHeight="1" x14ac:dyDescent="0.3">
      <c r="A597" s="13"/>
      <c r="B597" s="69"/>
      <c r="C597" s="31"/>
      <c r="D597" s="31"/>
      <c r="E597" s="34"/>
      <c r="F597" s="31"/>
      <c r="G597" s="31"/>
      <c r="H597" s="31"/>
      <c r="I597" s="31"/>
      <c r="J597" s="215"/>
      <c r="K597" s="212"/>
      <c r="L597" s="742"/>
      <c r="M597" s="742"/>
      <c r="N597" s="742"/>
      <c r="O597" s="742"/>
      <c r="P597" s="742"/>
      <c r="Q597" s="742"/>
      <c r="R597" s="742"/>
      <c r="S597" s="742"/>
      <c r="T597" s="742"/>
      <c r="U597" s="742"/>
      <c r="V597" s="742"/>
      <c r="W597" s="742"/>
      <c r="X597" s="742"/>
      <c r="Y597" s="742"/>
      <c r="Z597" s="742"/>
      <c r="AA597" s="742"/>
      <c r="AB597" s="742"/>
      <c r="AC597" s="742"/>
      <c r="AD597" s="742"/>
      <c r="AE597" s="742"/>
      <c r="AF597" s="742"/>
      <c r="AG597" s="742"/>
      <c r="AH597" s="742"/>
      <c r="AI597" s="742"/>
      <c r="AJ597" s="742"/>
      <c r="AK597" s="742"/>
      <c r="AL597" s="742"/>
      <c r="AM597" s="742"/>
      <c r="AN597" s="742"/>
      <c r="AO597" s="742"/>
      <c r="AP597" s="742"/>
      <c r="AQ597" s="742"/>
      <c r="AR597" s="742"/>
      <c r="AS597" s="20"/>
    </row>
    <row r="598" spans="1:45" ht="12.75" hidden="1" customHeight="1" x14ac:dyDescent="0.3">
      <c r="A598" s="13"/>
      <c r="B598" s="69"/>
      <c r="C598" s="31"/>
      <c r="D598" s="31"/>
      <c r="E598" s="34"/>
      <c r="F598" s="31"/>
      <c r="G598" s="31"/>
      <c r="H598" s="31"/>
      <c r="I598" s="31"/>
      <c r="J598" s="215"/>
      <c r="K598" s="212"/>
      <c r="L598" s="742"/>
      <c r="M598" s="742"/>
      <c r="N598" s="742"/>
      <c r="O598" s="742"/>
      <c r="P598" s="742"/>
      <c r="Q598" s="742"/>
      <c r="R598" s="742"/>
      <c r="S598" s="742"/>
      <c r="T598" s="742"/>
      <c r="U598" s="742"/>
      <c r="V598" s="742"/>
      <c r="W598" s="742"/>
      <c r="X598" s="742"/>
      <c r="Y598" s="742"/>
      <c r="Z598" s="742"/>
      <c r="AA598" s="742"/>
      <c r="AB598" s="742"/>
      <c r="AC598" s="742"/>
      <c r="AD598" s="742"/>
      <c r="AE598" s="742"/>
      <c r="AF598" s="742"/>
      <c r="AG598" s="742"/>
      <c r="AH598" s="742"/>
      <c r="AI598" s="742"/>
      <c r="AJ598" s="742"/>
      <c r="AK598" s="742"/>
      <c r="AL598" s="742"/>
      <c r="AM598" s="742"/>
      <c r="AN598" s="742"/>
      <c r="AO598" s="742"/>
      <c r="AP598" s="742"/>
      <c r="AQ598" s="742"/>
      <c r="AR598" s="742"/>
      <c r="AS598" s="20"/>
    </row>
    <row r="599" spans="1:45" ht="13.5" hidden="1" customHeight="1" x14ac:dyDescent="0.3">
      <c r="A599" s="13"/>
      <c r="B599" s="69"/>
      <c r="C599" s="31"/>
      <c r="D599" s="31"/>
      <c r="E599" s="32"/>
      <c r="F599" s="33"/>
      <c r="G599" s="31"/>
      <c r="H599" s="31"/>
      <c r="I599" s="31"/>
      <c r="J599" s="215"/>
      <c r="K599" s="212"/>
      <c r="L599" s="742"/>
      <c r="M599" s="742"/>
      <c r="N599" s="742"/>
      <c r="O599" s="742"/>
      <c r="P599" s="742"/>
      <c r="Q599" s="742"/>
      <c r="R599" s="742"/>
      <c r="S599" s="742"/>
      <c r="T599" s="742"/>
      <c r="U599" s="742"/>
      <c r="V599" s="742"/>
      <c r="W599" s="742"/>
      <c r="X599" s="742"/>
      <c r="Y599" s="742"/>
      <c r="Z599" s="742"/>
      <c r="AA599" s="742"/>
      <c r="AB599" s="742"/>
      <c r="AC599" s="742"/>
      <c r="AD599" s="742"/>
      <c r="AE599" s="742"/>
      <c r="AF599" s="742"/>
      <c r="AG599" s="742"/>
      <c r="AH599" s="742"/>
      <c r="AI599" s="742"/>
      <c r="AJ599" s="742"/>
      <c r="AK599" s="742"/>
      <c r="AL599" s="742"/>
      <c r="AM599" s="742"/>
      <c r="AN599" s="742"/>
      <c r="AO599" s="742"/>
      <c r="AP599" s="742"/>
      <c r="AQ599" s="742"/>
      <c r="AR599" s="742"/>
      <c r="AS599" s="20"/>
    </row>
    <row r="600" spans="1:45" ht="12.75" hidden="1" customHeight="1" x14ac:dyDescent="0.3">
      <c r="A600" s="13"/>
      <c r="B600" s="69"/>
      <c r="E600" s="35"/>
      <c r="J600" s="214"/>
      <c r="K600" s="212"/>
      <c r="L600" s="742"/>
      <c r="M600" s="742"/>
      <c r="N600" s="742"/>
      <c r="O600" s="742"/>
      <c r="P600" s="742"/>
      <c r="Q600" s="742"/>
      <c r="R600" s="742"/>
      <c r="S600" s="742"/>
      <c r="T600" s="742"/>
      <c r="U600" s="742"/>
      <c r="V600" s="742"/>
      <c r="W600" s="742"/>
      <c r="X600" s="742"/>
      <c r="Y600" s="742"/>
      <c r="Z600" s="742"/>
      <c r="AA600" s="742"/>
      <c r="AB600" s="742"/>
      <c r="AC600" s="742"/>
      <c r="AD600" s="742"/>
      <c r="AE600" s="742"/>
      <c r="AF600" s="742"/>
      <c r="AG600" s="742"/>
      <c r="AH600" s="742"/>
      <c r="AI600" s="742"/>
      <c r="AJ600" s="742"/>
      <c r="AK600" s="742"/>
      <c r="AL600" s="742"/>
      <c r="AM600" s="742"/>
      <c r="AN600" s="742"/>
      <c r="AO600" s="742"/>
      <c r="AP600" s="742"/>
      <c r="AQ600" s="742"/>
      <c r="AR600" s="742"/>
      <c r="AS600" s="20"/>
    </row>
    <row r="601" spans="1:45" ht="4.5" customHeight="1" x14ac:dyDescent="0.3">
      <c r="A601" s="13"/>
      <c r="B601" s="69"/>
      <c r="E601" s="11"/>
      <c r="F601" s="3"/>
      <c r="J601" s="214"/>
      <c r="K601" s="212"/>
      <c r="L601" s="212"/>
      <c r="M601" s="212"/>
      <c r="N601" s="212"/>
      <c r="O601" s="212"/>
      <c r="P601" s="212"/>
      <c r="Q601" s="212"/>
      <c r="R601" s="212"/>
      <c r="S601" s="212"/>
      <c r="T601" s="212"/>
      <c r="U601" s="212"/>
      <c r="V601" s="212"/>
      <c r="W601" s="212"/>
      <c r="X601" s="212"/>
      <c r="Y601" s="212"/>
      <c r="Z601" s="212"/>
      <c r="AA601" s="212"/>
      <c r="AB601" s="212"/>
      <c r="AC601" s="212"/>
      <c r="AD601" s="212"/>
      <c r="AE601" s="212"/>
      <c r="AF601" s="212"/>
      <c r="AG601" s="212"/>
      <c r="AH601" s="212"/>
      <c r="AI601" s="212"/>
      <c r="AJ601" s="212"/>
      <c r="AK601" s="212"/>
      <c r="AL601" s="212"/>
      <c r="AM601" s="212"/>
      <c r="AN601" s="212"/>
      <c r="AO601" s="212"/>
      <c r="AP601" s="212"/>
      <c r="AQ601" s="212"/>
      <c r="AR601" s="212"/>
      <c r="AS601" s="20"/>
    </row>
    <row r="602" spans="1:45" ht="64.5" customHeight="1" x14ac:dyDescent="0.3">
      <c r="A602" s="13" t="s">
        <v>276</v>
      </c>
      <c r="B602" s="69"/>
      <c r="E602" s="11"/>
      <c r="J602" s="214"/>
      <c r="K602" s="212"/>
      <c r="L602" s="742" t="str">
        <f>IF(calculations!B3=1,forms!A275,forms!A276)</f>
        <v xml:space="preserve">1) Adult guests sign a waiver / release of rights / covenant not to sue document. 
2) Each adult guest's identity is verified using government or school issued ID.
     OR, if the explanatory box below is applicable 
1) Assumption of risk and informed consent agreements are required of all adult guests. 
2) Each adult guest's identity is verified using YMCA, government  or school issued photo ID. </v>
      </c>
      <c r="M602" s="742"/>
      <c r="N602" s="742"/>
      <c r="O602" s="742"/>
      <c r="P602" s="742"/>
      <c r="Q602" s="742"/>
      <c r="R602" s="742"/>
      <c r="S602" s="742"/>
      <c r="T602" s="742"/>
      <c r="U602" s="742"/>
      <c r="V602" s="742"/>
      <c r="W602" s="742"/>
      <c r="X602" s="742"/>
      <c r="Y602" s="742"/>
      <c r="Z602" s="742"/>
      <c r="AA602" s="742"/>
      <c r="AB602" s="742"/>
      <c r="AC602" s="742"/>
      <c r="AD602" s="742"/>
      <c r="AE602" s="742"/>
      <c r="AF602" s="742"/>
      <c r="AG602" s="742"/>
      <c r="AH602" s="742"/>
      <c r="AI602" s="742"/>
      <c r="AJ602" s="742"/>
      <c r="AK602" s="742"/>
      <c r="AL602" s="742"/>
      <c r="AM602" s="742"/>
      <c r="AN602" s="742"/>
      <c r="AO602" s="742"/>
      <c r="AP602" s="742"/>
      <c r="AQ602" s="742"/>
      <c r="AR602" s="742"/>
      <c r="AS602" s="20"/>
    </row>
    <row r="603" spans="1:45" ht="12.75" hidden="1" customHeight="1" x14ac:dyDescent="0.3">
      <c r="A603" s="13"/>
      <c r="B603" s="69"/>
      <c r="E603" s="11"/>
      <c r="J603" s="214"/>
      <c r="K603" s="212"/>
      <c r="L603" s="742"/>
      <c r="M603" s="742"/>
      <c r="N603" s="742"/>
      <c r="O603" s="742"/>
      <c r="P603" s="742"/>
      <c r="Q603" s="742"/>
      <c r="R603" s="742"/>
      <c r="S603" s="742"/>
      <c r="T603" s="742"/>
      <c r="U603" s="742"/>
      <c r="V603" s="742"/>
      <c r="W603" s="742"/>
      <c r="X603" s="742"/>
      <c r="Y603" s="742"/>
      <c r="Z603" s="742"/>
      <c r="AA603" s="742"/>
      <c r="AB603" s="742"/>
      <c r="AC603" s="742"/>
      <c r="AD603" s="742"/>
      <c r="AE603" s="742"/>
      <c r="AF603" s="742"/>
      <c r="AG603" s="742"/>
      <c r="AH603" s="742"/>
      <c r="AI603" s="742"/>
      <c r="AJ603" s="742"/>
      <c r="AK603" s="742"/>
      <c r="AL603" s="742"/>
      <c r="AM603" s="742"/>
      <c r="AN603" s="742"/>
      <c r="AO603" s="742"/>
      <c r="AP603" s="742"/>
      <c r="AQ603" s="742"/>
      <c r="AR603" s="742"/>
      <c r="AS603" s="20"/>
    </row>
    <row r="604" spans="1:45" ht="12.75" hidden="1" customHeight="1" x14ac:dyDescent="0.3">
      <c r="A604" s="13"/>
      <c r="B604" s="69"/>
      <c r="E604" s="11"/>
      <c r="J604" s="214"/>
      <c r="K604" s="212"/>
      <c r="L604" s="742"/>
      <c r="M604" s="742"/>
      <c r="N604" s="742"/>
      <c r="O604" s="742"/>
      <c r="P604" s="742"/>
      <c r="Q604" s="742"/>
      <c r="R604" s="742"/>
      <c r="S604" s="742"/>
      <c r="T604" s="742"/>
      <c r="U604" s="742"/>
      <c r="V604" s="742"/>
      <c r="W604" s="742"/>
      <c r="X604" s="742"/>
      <c r="Y604" s="742"/>
      <c r="Z604" s="742"/>
      <c r="AA604" s="742"/>
      <c r="AB604" s="742"/>
      <c r="AC604" s="742"/>
      <c r="AD604" s="742"/>
      <c r="AE604" s="742"/>
      <c r="AF604" s="742"/>
      <c r="AG604" s="742"/>
      <c r="AH604" s="742"/>
      <c r="AI604" s="742"/>
      <c r="AJ604" s="742"/>
      <c r="AK604" s="742"/>
      <c r="AL604" s="742"/>
      <c r="AM604" s="742"/>
      <c r="AN604" s="742"/>
      <c r="AO604" s="742"/>
      <c r="AP604" s="742"/>
      <c r="AQ604" s="742"/>
      <c r="AR604" s="742"/>
      <c r="AS604" s="20"/>
    </row>
    <row r="605" spans="1:45" ht="12.75" hidden="1" customHeight="1" x14ac:dyDescent="0.3">
      <c r="A605" s="13"/>
      <c r="B605" s="69"/>
      <c r="E605" s="11"/>
      <c r="J605" s="214"/>
      <c r="K605" s="212"/>
      <c r="L605" s="742"/>
      <c r="M605" s="742"/>
      <c r="N605" s="742"/>
      <c r="O605" s="742"/>
      <c r="P605" s="742"/>
      <c r="Q605" s="742"/>
      <c r="R605" s="742"/>
      <c r="S605" s="742"/>
      <c r="T605" s="742"/>
      <c r="U605" s="742"/>
      <c r="V605" s="742"/>
      <c r="W605" s="742"/>
      <c r="X605" s="742"/>
      <c r="Y605" s="742"/>
      <c r="Z605" s="742"/>
      <c r="AA605" s="742"/>
      <c r="AB605" s="742"/>
      <c r="AC605" s="742"/>
      <c r="AD605" s="742"/>
      <c r="AE605" s="742"/>
      <c r="AF605" s="742"/>
      <c r="AG605" s="742"/>
      <c r="AH605" s="742"/>
      <c r="AI605" s="742"/>
      <c r="AJ605" s="742"/>
      <c r="AK605" s="742"/>
      <c r="AL605" s="742"/>
      <c r="AM605" s="742"/>
      <c r="AN605" s="742"/>
      <c r="AO605" s="742"/>
      <c r="AP605" s="742"/>
      <c r="AQ605" s="742"/>
      <c r="AR605" s="742"/>
      <c r="AS605" s="20"/>
    </row>
    <row r="606" spans="1:45" ht="12.75" hidden="1" customHeight="1" x14ac:dyDescent="0.3">
      <c r="A606" s="13"/>
      <c r="B606" s="69"/>
      <c r="E606" s="11"/>
      <c r="J606" s="214"/>
      <c r="K606" s="212"/>
      <c r="L606" s="742"/>
      <c r="M606" s="742"/>
      <c r="N606" s="742"/>
      <c r="O606" s="742"/>
      <c r="P606" s="742"/>
      <c r="Q606" s="742"/>
      <c r="R606" s="742"/>
      <c r="S606" s="742"/>
      <c r="T606" s="742"/>
      <c r="U606" s="742"/>
      <c r="V606" s="742"/>
      <c r="W606" s="742"/>
      <c r="X606" s="742"/>
      <c r="Y606" s="742"/>
      <c r="Z606" s="742"/>
      <c r="AA606" s="742"/>
      <c r="AB606" s="742"/>
      <c r="AC606" s="742"/>
      <c r="AD606" s="742"/>
      <c r="AE606" s="742"/>
      <c r="AF606" s="742"/>
      <c r="AG606" s="742"/>
      <c r="AH606" s="742"/>
      <c r="AI606" s="742"/>
      <c r="AJ606" s="742"/>
      <c r="AK606" s="742"/>
      <c r="AL606" s="742"/>
      <c r="AM606" s="742"/>
      <c r="AN606" s="742"/>
      <c r="AO606" s="742"/>
      <c r="AP606" s="742"/>
      <c r="AQ606" s="742"/>
      <c r="AR606" s="742"/>
      <c r="AS606" s="20"/>
    </row>
    <row r="607" spans="1:45" ht="4.5" customHeight="1" x14ac:dyDescent="0.3">
      <c r="A607" s="13"/>
      <c r="B607" s="69"/>
      <c r="E607" s="11"/>
      <c r="J607" s="214"/>
      <c r="K607" s="212"/>
      <c r="L607" s="212"/>
      <c r="M607" s="212"/>
      <c r="N607" s="212"/>
      <c r="O607" s="212"/>
      <c r="P607" s="212"/>
      <c r="Q607" s="212"/>
      <c r="R607" s="212"/>
      <c r="S607" s="212"/>
      <c r="T607" s="212"/>
      <c r="U607" s="212"/>
      <c r="V607" s="212"/>
      <c r="W607" s="212"/>
      <c r="X607" s="212"/>
      <c r="Y607" s="212"/>
      <c r="Z607" s="212"/>
      <c r="AA607" s="212"/>
      <c r="AB607" s="212"/>
      <c r="AC607" s="212"/>
      <c r="AD607" s="212"/>
      <c r="AE607" s="212"/>
      <c r="AF607" s="212"/>
      <c r="AG607" s="212"/>
      <c r="AH607" s="212"/>
      <c r="AI607" s="212"/>
      <c r="AJ607" s="212"/>
      <c r="AK607" s="212"/>
      <c r="AL607" s="212"/>
      <c r="AM607" s="212"/>
      <c r="AN607" s="212"/>
      <c r="AO607" s="212"/>
      <c r="AP607" s="212"/>
      <c r="AQ607" s="212"/>
      <c r="AR607" s="212"/>
      <c r="AS607" s="20"/>
    </row>
    <row r="608" spans="1:45" ht="24.75" customHeight="1" x14ac:dyDescent="0.3">
      <c r="A608" s="13" t="s">
        <v>277</v>
      </c>
      <c r="B608" s="69"/>
      <c r="E608" s="2"/>
      <c r="F608" s="3"/>
      <c r="J608" s="214"/>
      <c r="K608" s="212"/>
      <c r="L608" s="717" t="s">
        <v>1186</v>
      </c>
      <c r="M608" s="717"/>
      <c r="N608" s="717"/>
      <c r="O608" s="717"/>
      <c r="P608" s="717"/>
      <c r="Q608" s="717"/>
      <c r="R608" s="717"/>
      <c r="S608" s="717"/>
      <c r="T608" s="717"/>
      <c r="U608" s="717"/>
      <c r="V608" s="717"/>
      <c r="W608" s="717"/>
      <c r="X608" s="717"/>
      <c r="Y608" s="717"/>
      <c r="Z608" s="717"/>
      <c r="AA608" s="717"/>
      <c r="AB608" s="717"/>
      <c r="AC608" s="717"/>
      <c r="AD608" s="717"/>
      <c r="AE608" s="717"/>
      <c r="AF608" s="717"/>
      <c r="AG608" s="717"/>
      <c r="AH608" s="717"/>
      <c r="AI608" s="717"/>
      <c r="AJ608" s="717"/>
      <c r="AK608" s="717"/>
      <c r="AL608" s="717"/>
      <c r="AM608" s="717"/>
      <c r="AN608" s="717"/>
      <c r="AO608" s="717"/>
      <c r="AP608" s="717"/>
      <c r="AQ608" s="717"/>
      <c r="AR608" s="717"/>
      <c r="AS608" s="20"/>
    </row>
    <row r="609" spans="1:45" ht="4.5" customHeight="1" x14ac:dyDescent="0.3">
      <c r="A609" s="13"/>
      <c r="B609" s="69"/>
      <c r="E609" s="11"/>
      <c r="J609" s="214"/>
      <c r="K609" s="212"/>
      <c r="L609" s="212"/>
      <c r="M609" s="212"/>
      <c r="N609" s="212"/>
      <c r="O609" s="212"/>
      <c r="P609" s="212"/>
      <c r="Q609" s="212"/>
      <c r="R609" s="212"/>
      <c r="S609" s="212"/>
      <c r="T609" s="212"/>
      <c r="U609" s="212"/>
      <c r="V609" s="212"/>
      <c r="W609" s="212"/>
      <c r="X609" s="212"/>
      <c r="Y609" s="212"/>
      <c r="Z609" s="212"/>
      <c r="AA609" s="212"/>
      <c r="AB609" s="212"/>
      <c r="AC609" s="212"/>
      <c r="AD609" s="212"/>
      <c r="AE609" s="212"/>
      <c r="AF609" s="212"/>
      <c r="AG609" s="212"/>
      <c r="AH609" s="212"/>
      <c r="AI609" s="212"/>
      <c r="AJ609" s="212"/>
      <c r="AK609" s="212"/>
      <c r="AL609" s="212"/>
      <c r="AM609" s="212"/>
      <c r="AN609" s="212"/>
      <c r="AO609" s="212"/>
      <c r="AP609" s="212"/>
      <c r="AQ609" s="212"/>
      <c r="AR609" s="212"/>
      <c r="AS609" s="20"/>
    </row>
    <row r="610" spans="1:45" ht="24.75" customHeight="1" x14ac:dyDescent="0.3">
      <c r="A610" s="13" t="s">
        <v>278</v>
      </c>
      <c r="B610" s="69"/>
      <c r="E610" s="2"/>
      <c r="F610" s="3"/>
      <c r="J610" s="214"/>
      <c r="K610" s="212"/>
      <c r="L610" s="717" t="s">
        <v>1185</v>
      </c>
      <c r="M610" s="717"/>
      <c r="N610" s="717"/>
      <c r="O610" s="717"/>
      <c r="P610" s="717"/>
      <c r="Q610" s="717"/>
      <c r="R610" s="717"/>
      <c r="S610" s="717"/>
      <c r="T610" s="717"/>
      <c r="U610" s="717"/>
      <c r="V610" s="717"/>
      <c r="W610" s="717"/>
      <c r="X610" s="717"/>
      <c r="Y610" s="717"/>
      <c r="Z610" s="717"/>
      <c r="AA610" s="717"/>
      <c r="AB610" s="717"/>
      <c r="AC610" s="717"/>
      <c r="AD610" s="717"/>
      <c r="AE610" s="717"/>
      <c r="AF610" s="717"/>
      <c r="AG610" s="717"/>
      <c r="AH610" s="717"/>
      <c r="AI610" s="717"/>
      <c r="AJ610" s="717"/>
      <c r="AK610" s="717"/>
      <c r="AL610" s="717"/>
      <c r="AM610" s="717"/>
      <c r="AN610" s="717"/>
      <c r="AO610" s="717"/>
      <c r="AP610" s="717"/>
      <c r="AQ610" s="717"/>
      <c r="AR610" s="717"/>
      <c r="AS610" s="20"/>
    </row>
    <row r="611" spans="1:45" ht="13.5" hidden="1" customHeight="1" x14ac:dyDescent="0.3">
      <c r="A611" s="13"/>
      <c r="B611" s="69"/>
      <c r="E611" s="2"/>
      <c r="F611" s="3"/>
      <c r="J611" s="214"/>
      <c r="K611" s="212"/>
      <c r="L611" s="717"/>
      <c r="M611" s="717"/>
      <c r="N611" s="717"/>
      <c r="O611" s="717"/>
      <c r="P611" s="717"/>
      <c r="Q611" s="717"/>
      <c r="R611" s="717"/>
      <c r="S611" s="717"/>
      <c r="T611" s="717"/>
      <c r="U611" s="717"/>
      <c r="V611" s="717"/>
      <c r="W611" s="717"/>
      <c r="X611" s="717"/>
      <c r="Y611" s="717"/>
      <c r="Z611" s="717"/>
      <c r="AA611" s="717"/>
      <c r="AB611" s="717"/>
      <c r="AC611" s="717"/>
      <c r="AD611" s="717"/>
      <c r="AE611" s="717"/>
      <c r="AF611" s="717"/>
      <c r="AG611" s="717"/>
      <c r="AH611" s="717"/>
      <c r="AI611" s="717"/>
      <c r="AJ611" s="717"/>
      <c r="AK611" s="717"/>
      <c r="AL611" s="717"/>
      <c r="AM611" s="717"/>
      <c r="AN611" s="717"/>
      <c r="AO611" s="717"/>
      <c r="AP611" s="717"/>
      <c r="AQ611" s="717"/>
      <c r="AR611" s="717"/>
      <c r="AS611" s="20"/>
    </row>
    <row r="612" spans="1:45" ht="4.5" hidden="1" customHeight="1" x14ac:dyDescent="0.3">
      <c r="A612" s="13"/>
      <c r="B612" s="69"/>
      <c r="E612" s="2"/>
      <c r="F612" s="3"/>
      <c r="J612" s="214"/>
      <c r="K612" s="212"/>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2"/>
      <c r="AS612" s="20"/>
    </row>
    <row r="613" spans="1:45" ht="27" hidden="1" customHeight="1" x14ac:dyDescent="0.3">
      <c r="A613" s="13"/>
      <c r="B613" s="69"/>
      <c r="E613" s="11"/>
      <c r="F613" s="2"/>
      <c r="G613" s="3"/>
      <c r="J613" s="214"/>
      <c r="K613" s="212"/>
      <c r="L613" s="717"/>
      <c r="M613" s="717"/>
      <c r="N613" s="717"/>
      <c r="O613" s="717"/>
      <c r="P613" s="717"/>
      <c r="Q613" s="717"/>
      <c r="R613" s="717"/>
      <c r="S613" s="717"/>
      <c r="T613" s="717"/>
      <c r="U613" s="717"/>
      <c r="V613" s="717"/>
      <c r="W613" s="717"/>
      <c r="X613" s="717"/>
      <c r="Y613" s="717"/>
      <c r="Z613" s="717"/>
      <c r="AA613" s="717"/>
      <c r="AB613" s="717"/>
      <c r="AC613" s="717"/>
      <c r="AD613" s="717"/>
      <c r="AE613" s="717"/>
      <c r="AF613" s="717"/>
      <c r="AG613" s="717"/>
      <c r="AH613" s="717"/>
      <c r="AI613" s="717"/>
      <c r="AJ613" s="717"/>
      <c r="AK613" s="717"/>
      <c r="AL613" s="717"/>
      <c r="AM613" s="717"/>
      <c r="AN613" s="717"/>
      <c r="AO613" s="717"/>
      <c r="AP613" s="717"/>
      <c r="AQ613" s="717"/>
      <c r="AR613" s="717"/>
      <c r="AS613" s="20"/>
    </row>
    <row r="614" spans="1:45" ht="4.5" customHeight="1" x14ac:dyDescent="0.3">
      <c r="A614" s="13"/>
      <c r="B614" s="69"/>
      <c r="E614" s="11"/>
      <c r="J614" s="214"/>
      <c r="K614" s="212"/>
      <c r="L614" s="212"/>
      <c r="M614" s="212"/>
      <c r="N614" s="212"/>
      <c r="O614" s="212"/>
      <c r="P614" s="212"/>
      <c r="Q614" s="212"/>
      <c r="R614" s="212"/>
      <c r="S614" s="212"/>
      <c r="T614" s="212"/>
      <c r="U614" s="212"/>
      <c r="V614" s="212"/>
      <c r="W614" s="212"/>
      <c r="X614" s="212"/>
      <c r="Y614" s="212"/>
      <c r="Z614" s="212"/>
      <c r="AA614" s="212"/>
      <c r="AB614" s="212"/>
      <c r="AC614" s="212"/>
      <c r="AD614" s="212"/>
      <c r="AE614" s="212"/>
      <c r="AF614" s="212"/>
      <c r="AG614" s="212"/>
      <c r="AH614" s="212"/>
      <c r="AI614" s="212"/>
      <c r="AJ614" s="212"/>
      <c r="AK614" s="212"/>
      <c r="AL614" s="212"/>
      <c r="AM614" s="212"/>
      <c r="AN614" s="212"/>
      <c r="AO614" s="212"/>
      <c r="AP614" s="212"/>
      <c r="AQ614" s="212"/>
      <c r="AR614" s="212"/>
      <c r="AS614" s="20"/>
    </row>
    <row r="615" spans="1:45" ht="15" customHeight="1" x14ac:dyDescent="0.3">
      <c r="A615" s="13" t="s">
        <v>360</v>
      </c>
      <c r="B615" s="69"/>
      <c r="E615" s="11"/>
      <c r="J615" s="214"/>
      <c r="K615" s="212"/>
      <c r="L615" s="717" t="s">
        <v>1184</v>
      </c>
      <c r="M615" s="717"/>
      <c r="N615" s="717"/>
      <c r="O615" s="717"/>
      <c r="P615" s="717"/>
      <c r="Q615" s="717"/>
      <c r="R615" s="717"/>
      <c r="S615" s="717"/>
      <c r="T615" s="717"/>
      <c r="U615" s="717"/>
      <c r="V615" s="717"/>
      <c r="W615" s="717"/>
      <c r="X615" s="717"/>
      <c r="Y615" s="717"/>
      <c r="Z615" s="717"/>
      <c r="AA615" s="717"/>
      <c r="AB615" s="717"/>
      <c r="AC615" s="717"/>
      <c r="AD615" s="717"/>
      <c r="AE615" s="717"/>
      <c r="AF615" s="717"/>
      <c r="AG615" s="717"/>
      <c r="AH615" s="717"/>
      <c r="AI615" s="717"/>
      <c r="AJ615" s="717"/>
      <c r="AK615" s="717"/>
      <c r="AL615" s="717"/>
      <c r="AM615" s="717"/>
      <c r="AN615" s="717"/>
      <c r="AO615" s="717"/>
      <c r="AP615" s="717"/>
      <c r="AQ615" s="717"/>
      <c r="AR615" s="717"/>
      <c r="AS615" s="20"/>
    </row>
    <row r="616" spans="1:45" ht="4.5" customHeight="1" x14ac:dyDescent="0.3">
      <c r="E616" s="11"/>
      <c r="J616" s="214"/>
      <c r="K616" s="216"/>
      <c r="L616" s="216"/>
      <c r="M616" s="216"/>
      <c r="N616" s="216"/>
      <c r="O616" s="216"/>
      <c r="P616" s="216"/>
      <c r="Q616" s="216"/>
      <c r="R616" s="216"/>
      <c r="S616" s="216"/>
      <c r="T616" s="216"/>
      <c r="U616" s="216"/>
      <c r="V616" s="216"/>
      <c r="W616" s="216"/>
      <c r="X616" s="216"/>
      <c r="Y616" s="216"/>
      <c r="Z616" s="216"/>
      <c r="AA616" s="216"/>
      <c r="AB616" s="216"/>
      <c r="AC616" s="216"/>
      <c r="AD616" s="216"/>
      <c r="AE616" s="216"/>
      <c r="AF616" s="216"/>
      <c r="AG616" s="216"/>
      <c r="AH616" s="216"/>
      <c r="AI616" s="216"/>
      <c r="AJ616" s="216"/>
      <c r="AK616" s="216"/>
      <c r="AL616" s="216"/>
      <c r="AM616" s="216"/>
      <c r="AN616" s="216"/>
      <c r="AO616" s="216"/>
      <c r="AP616" s="216"/>
      <c r="AQ616" s="216"/>
      <c r="AR616" s="216"/>
      <c r="AS616" s="20"/>
    </row>
    <row r="617" spans="1:45" x14ac:dyDescent="0.3">
      <c r="E617" s="11"/>
      <c r="F617" s="13" t="s">
        <v>700</v>
      </c>
      <c r="J617" s="706" t="str">
        <f>IF(calculations!M34,"describe corrective action proposed to correct any Red Flag or Yellow Flag ranking",IF(calculations!N34,"describe corrective action proposed to correct any Red Flag or Yellow Flag ranking","we changed the criteria"))</f>
        <v>we changed the criteria</v>
      </c>
      <c r="K617" s="707"/>
      <c r="L617" s="707"/>
      <c r="M617" s="707"/>
      <c r="N617" s="707"/>
      <c r="O617" s="707"/>
      <c r="P617" s="707"/>
      <c r="Q617" s="707"/>
      <c r="R617" s="707"/>
      <c r="S617" s="707"/>
      <c r="T617" s="707"/>
      <c r="U617" s="707"/>
      <c r="V617" s="707"/>
      <c r="W617" s="707"/>
      <c r="X617" s="707"/>
      <c r="Y617" s="707"/>
      <c r="Z617" s="707"/>
      <c r="AA617" s="707"/>
      <c r="AB617" s="707"/>
      <c r="AC617" s="707"/>
      <c r="AD617" s="707"/>
      <c r="AE617" s="707"/>
      <c r="AF617" s="707"/>
      <c r="AG617" s="707"/>
      <c r="AH617" s="707"/>
      <c r="AI617" s="707"/>
      <c r="AJ617" s="707"/>
      <c r="AK617" s="707"/>
      <c r="AL617" s="707"/>
      <c r="AM617" s="707"/>
      <c r="AN617" s="707"/>
      <c r="AO617" s="707"/>
      <c r="AP617" s="707"/>
      <c r="AQ617" s="707"/>
      <c r="AR617" s="708"/>
      <c r="AS617" s="20"/>
    </row>
    <row r="618" spans="1:45" ht="4.5" customHeight="1" x14ac:dyDescent="0.3">
      <c r="E618" s="11"/>
      <c r="G618" s="38"/>
      <c r="J618" s="214"/>
      <c r="K618" s="214"/>
      <c r="L618" s="214"/>
      <c r="M618" s="214"/>
      <c r="N618" s="214"/>
      <c r="O618" s="214"/>
      <c r="P618" s="214"/>
      <c r="Q618" s="214"/>
      <c r="R618" s="214"/>
      <c r="S618" s="214"/>
      <c r="T618" s="214"/>
      <c r="U618" s="214"/>
      <c r="V618" s="214"/>
      <c r="W618" s="214"/>
      <c r="X618" s="214"/>
      <c r="Y618" s="214"/>
      <c r="Z618" s="214"/>
      <c r="AA618" s="214"/>
      <c r="AB618" s="214"/>
      <c r="AC618" s="214"/>
      <c r="AD618" s="214"/>
      <c r="AE618" s="214"/>
      <c r="AF618" s="214"/>
      <c r="AG618" s="214"/>
      <c r="AH618" s="214"/>
      <c r="AI618" s="214"/>
      <c r="AJ618" s="214"/>
      <c r="AK618" s="214"/>
      <c r="AL618" s="214"/>
      <c r="AM618" s="214"/>
      <c r="AN618" s="214"/>
      <c r="AO618" s="214"/>
      <c r="AP618" s="214"/>
      <c r="AQ618" s="214"/>
      <c r="AR618" s="214"/>
      <c r="AS618" s="20"/>
    </row>
    <row r="619" spans="1:45" ht="27" customHeight="1" x14ac:dyDescent="0.3">
      <c r="E619" s="11"/>
      <c r="F619" s="55" t="str">
        <f>IF(J619&gt;"","REC",IF(calculations!M38&gt;0,"REC",""))</f>
        <v/>
      </c>
      <c r="G619" s="38"/>
      <c r="J619" s="724" t="str">
        <f>IF(calculations!M38=1,Rec!E58,IF(calculations!M38=2,Rec!E59,""))</f>
        <v/>
      </c>
      <c r="K619" s="725"/>
      <c r="L619" s="725"/>
      <c r="M619" s="725"/>
      <c r="N619" s="725"/>
      <c r="O619" s="725"/>
      <c r="P619" s="725"/>
      <c r="Q619" s="725"/>
      <c r="R619" s="725"/>
      <c r="S619" s="725"/>
      <c r="T619" s="725"/>
      <c r="U619" s="725"/>
      <c r="V619" s="725"/>
      <c r="W619" s="725"/>
      <c r="X619" s="725"/>
      <c r="Y619" s="725"/>
      <c r="Z619" s="725"/>
      <c r="AA619" s="725"/>
      <c r="AB619" s="725"/>
      <c r="AC619" s="725"/>
      <c r="AD619" s="725"/>
      <c r="AE619" s="725"/>
      <c r="AF619" s="725"/>
      <c r="AG619" s="725"/>
      <c r="AH619" s="725"/>
      <c r="AI619" s="725"/>
      <c r="AJ619" s="725"/>
      <c r="AK619" s="725"/>
      <c r="AL619" s="725"/>
      <c r="AM619" s="725"/>
      <c r="AN619" s="725"/>
      <c r="AO619" s="725"/>
      <c r="AP619" s="725"/>
      <c r="AQ619" s="725"/>
      <c r="AR619" s="726"/>
      <c r="AS619" s="20"/>
    </row>
    <row r="620" spans="1:45" ht="13.5" customHeight="1" x14ac:dyDescent="0.3">
      <c r="E620" s="11"/>
      <c r="F620" s="37"/>
      <c r="AS620" s="20"/>
    </row>
    <row r="621" spans="1:45" ht="14.15" x14ac:dyDescent="0.35">
      <c r="A621" s="735">
        <v>4.2</v>
      </c>
      <c r="B621" s="735"/>
      <c r="D621" s="30" t="s">
        <v>737</v>
      </c>
      <c r="E621" s="11"/>
      <c r="AS621" s="20"/>
    </row>
    <row r="622" spans="1:45" ht="4.5" customHeight="1" x14ac:dyDescent="0.3">
      <c r="A622" s="13"/>
      <c r="B622" s="69"/>
      <c r="E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20"/>
    </row>
    <row r="623" spans="1:45" ht="60.75" customHeight="1" x14ac:dyDescent="0.3">
      <c r="A623" s="13" t="s">
        <v>280</v>
      </c>
      <c r="B623" s="69"/>
      <c r="C623" s="31"/>
      <c r="D623" s="31"/>
      <c r="E623" s="32"/>
      <c r="F623" s="33"/>
      <c r="G623" s="31"/>
      <c r="H623" s="31"/>
      <c r="I623" s="31"/>
      <c r="J623" s="215"/>
      <c r="K623" s="212"/>
      <c r="L623" s="717" t="str">
        <f>IF(calculations!B3=1,forms!A270,forms!A269)</f>
        <v>1) PLATINUM MEDAL plus all contracts are previewed by a qualified person in the corporate management team or corporate counsel.
2) Contracts with partnering entities do not require indemnification or hold harmless except for actions or inactions of the YMCA itself. 
3) Significant contracts are also reviewed either by TRG risk management or broker.</v>
      </c>
      <c r="M623" s="717"/>
      <c r="N623" s="717"/>
      <c r="O623" s="717"/>
      <c r="P623" s="717"/>
      <c r="Q623" s="717"/>
      <c r="R623" s="717"/>
      <c r="S623" s="717"/>
      <c r="T623" s="717"/>
      <c r="U623" s="717"/>
      <c r="V623" s="717"/>
      <c r="W623" s="717"/>
      <c r="X623" s="717"/>
      <c r="Y623" s="717"/>
      <c r="Z623" s="717"/>
      <c r="AA623" s="717"/>
      <c r="AB623" s="717"/>
      <c r="AC623" s="717"/>
      <c r="AD623" s="717"/>
      <c r="AE623" s="717"/>
      <c r="AF623" s="717"/>
      <c r="AG623" s="717"/>
      <c r="AH623" s="717"/>
      <c r="AI623" s="717"/>
      <c r="AJ623" s="717"/>
      <c r="AK623" s="717"/>
      <c r="AL623" s="717"/>
      <c r="AM623" s="717"/>
      <c r="AN623" s="717"/>
      <c r="AO623" s="717"/>
      <c r="AP623" s="717"/>
      <c r="AQ623" s="717"/>
      <c r="AR623" s="717"/>
      <c r="AS623" s="20"/>
    </row>
    <row r="624" spans="1:45" ht="12.75" hidden="1" customHeight="1" x14ac:dyDescent="0.3">
      <c r="A624" s="13"/>
      <c r="B624" s="69"/>
      <c r="C624" s="31"/>
      <c r="D624" s="31"/>
      <c r="E624" s="32"/>
      <c r="F624" s="33"/>
      <c r="G624" s="31"/>
      <c r="H624" s="31"/>
      <c r="I624" s="31"/>
      <c r="J624" s="215"/>
      <c r="K624" s="212"/>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c r="AG624" s="635"/>
      <c r="AH624" s="635"/>
      <c r="AI624" s="635"/>
      <c r="AJ624" s="635"/>
      <c r="AK624" s="635"/>
      <c r="AL624" s="635"/>
      <c r="AM624" s="635"/>
      <c r="AN624" s="635"/>
      <c r="AO624" s="635"/>
      <c r="AP624" s="635"/>
      <c r="AQ624" s="635"/>
      <c r="AR624" s="635"/>
      <c r="AS624" s="20"/>
    </row>
    <row r="625" spans="1:45" ht="4.5" customHeight="1" x14ac:dyDescent="0.3">
      <c r="A625" s="13"/>
      <c r="B625" s="69"/>
      <c r="C625" s="31"/>
      <c r="D625" s="31"/>
      <c r="E625" s="32"/>
      <c r="F625" s="33"/>
      <c r="G625" s="31"/>
      <c r="H625" s="31"/>
      <c r="I625" s="31"/>
      <c r="J625" s="215"/>
      <c r="K625" s="212"/>
      <c r="L625" s="212"/>
      <c r="M625" s="212"/>
      <c r="N625" s="212"/>
      <c r="O625" s="212"/>
      <c r="P625" s="212"/>
      <c r="Q625" s="212"/>
      <c r="R625" s="212"/>
      <c r="S625" s="212"/>
      <c r="T625" s="212"/>
      <c r="U625" s="212"/>
      <c r="V625" s="212"/>
      <c r="W625" s="212"/>
      <c r="X625" s="212"/>
      <c r="Y625" s="212"/>
      <c r="Z625" s="212"/>
      <c r="AA625" s="212"/>
      <c r="AB625" s="212"/>
      <c r="AC625" s="212"/>
      <c r="AD625" s="212"/>
      <c r="AE625" s="212"/>
      <c r="AF625" s="212"/>
      <c r="AG625" s="212"/>
      <c r="AH625" s="212"/>
      <c r="AI625" s="212"/>
      <c r="AJ625" s="212"/>
      <c r="AK625" s="212"/>
      <c r="AL625" s="212"/>
      <c r="AM625" s="212"/>
      <c r="AN625" s="212"/>
      <c r="AO625" s="212"/>
      <c r="AP625" s="212"/>
      <c r="AQ625" s="212"/>
      <c r="AR625" s="212"/>
      <c r="AS625" s="20"/>
    </row>
    <row r="626" spans="1:45" ht="62.25" customHeight="1" x14ac:dyDescent="0.3">
      <c r="A626" s="13" t="s">
        <v>281</v>
      </c>
      <c r="B626" s="69"/>
      <c r="C626" s="31"/>
      <c r="D626" s="31"/>
      <c r="E626" s="34"/>
      <c r="F626" s="31"/>
      <c r="G626" s="31"/>
      <c r="H626" s="31"/>
      <c r="I626" s="31"/>
      <c r="J626" s="215"/>
      <c r="K626" s="212"/>
      <c r="L626" s="717" t="str">
        <f>IF(calculations!B3=1,forms!A272,forms!A271)</f>
        <v>1) GOLD MEDAL plus significant agreements with vendors and contractors require hold-harmless, waiver of rights, and indemnity wording favoring the Y. 
2) Verification of current insurance coverage (workers’ compensation, liability including completed operations/products and automobile) has been provided to verify funding of the agreement.</v>
      </c>
      <c r="M626" s="717"/>
      <c r="N626" s="717"/>
      <c r="O626" s="717"/>
      <c r="P626" s="717"/>
      <c r="Q626" s="717"/>
      <c r="R626" s="717"/>
      <c r="S626" s="717"/>
      <c r="T626" s="717"/>
      <c r="U626" s="717"/>
      <c r="V626" s="717"/>
      <c r="W626" s="717"/>
      <c r="X626" s="717"/>
      <c r="Y626" s="717"/>
      <c r="Z626" s="717"/>
      <c r="AA626" s="717"/>
      <c r="AB626" s="717"/>
      <c r="AC626" s="717"/>
      <c r="AD626" s="717"/>
      <c r="AE626" s="717"/>
      <c r="AF626" s="717"/>
      <c r="AG626" s="717"/>
      <c r="AH626" s="717"/>
      <c r="AI626" s="717"/>
      <c r="AJ626" s="717"/>
      <c r="AK626" s="717"/>
      <c r="AL626" s="717"/>
      <c r="AM626" s="717"/>
      <c r="AN626" s="717"/>
      <c r="AO626" s="717"/>
      <c r="AP626" s="717"/>
      <c r="AQ626" s="717"/>
      <c r="AR626" s="717"/>
      <c r="AS626" s="20"/>
    </row>
    <row r="627" spans="1:45" ht="4.5" customHeight="1" x14ac:dyDescent="0.3">
      <c r="A627" s="13"/>
      <c r="B627" s="69"/>
      <c r="E627" s="11"/>
      <c r="F627" s="3"/>
      <c r="J627" s="214"/>
      <c r="K627" s="212"/>
      <c r="L627" s="212"/>
      <c r="M627" s="212"/>
      <c r="N627" s="212"/>
      <c r="O627" s="212"/>
      <c r="P627" s="212"/>
      <c r="Q627" s="212"/>
      <c r="R627" s="212"/>
      <c r="S627" s="212"/>
      <c r="T627" s="212"/>
      <c r="U627" s="212"/>
      <c r="V627" s="212"/>
      <c r="W627" s="212"/>
      <c r="X627" s="212"/>
      <c r="Y627" s="212"/>
      <c r="Z627" s="212"/>
      <c r="AA627" s="212"/>
      <c r="AB627" s="212"/>
      <c r="AC627" s="212"/>
      <c r="AD627" s="212"/>
      <c r="AE627" s="212"/>
      <c r="AF627" s="212"/>
      <c r="AG627" s="212"/>
      <c r="AH627" s="212"/>
      <c r="AI627" s="212"/>
      <c r="AJ627" s="212"/>
      <c r="AK627" s="212"/>
      <c r="AL627" s="212"/>
      <c r="AM627" s="212"/>
      <c r="AN627" s="212"/>
      <c r="AO627" s="212"/>
      <c r="AP627" s="212"/>
      <c r="AQ627" s="212"/>
      <c r="AR627" s="212"/>
      <c r="AS627" s="20"/>
    </row>
    <row r="628" spans="1:45" ht="13.5" customHeight="1" x14ac:dyDescent="0.3">
      <c r="A628" s="13" t="s">
        <v>282</v>
      </c>
      <c r="B628" s="69"/>
      <c r="E628" s="11"/>
      <c r="J628" s="214"/>
      <c r="K628" s="212"/>
      <c r="L628" s="717" t="s">
        <v>1188</v>
      </c>
      <c r="M628" s="717"/>
      <c r="N628" s="717"/>
      <c r="O628" s="717"/>
      <c r="P628" s="717"/>
      <c r="Q628" s="717"/>
      <c r="R628" s="717"/>
      <c r="S628" s="717"/>
      <c r="T628" s="717"/>
      <c r="U628" s="717"/>
      <c r="V628" s="717"/>
      <c r="W628" s="717"/>
      <c r="X628" s="717"/>
      <c r="Y628" s="717"/>
      <c r="Z628" s="717"/>
      <c r="AA628" s="717"/>
      <c r="AB628" s="717"/>
      <c r="AC628" s="717"/>
      <c r="AD628" s="717"/>
      <c r="AE628" s="717"/>
      <c r="AF628" s="717"/>
      <c r="AG628" s="717"/>
      <c r="AH628" s="717"/>
      <c r="AI628" s="717"/>
      <c r="AJ628" s="717"/>
      <c r="AK628" s="717"/>
      <c r="AL628" s="717"/>
      <c r="AM628" s="717"/>
      <c r="AN628" s="717"/>
      <c r="AO628" s="717"/>
      <c r="AP628" s="717"/>
      <c r="AQ628" s="717"/>
      <c r="AR628" s="717"/>
      <c r="AS628" s="20"/>
    </row>
    <row r="629" spans="1:45" x14ac:dyDescent="0.3">
      <c r="A629" s="13"/>
      <c r="B629" s="69"/>
      <c r="C629" s="31"/>
      <c r="D629" s="31"/>
      <c r="E629" s="34"/>
      <c r="F629" s="31"/>
      <c r="G629" s="31"/>
      <c r="H629" s="31"/>
      <c r="I629" s="31"/>
      <c r="J629" s="215"/>
      <c r="K629" s="212"/>
      <c r="L629" s="717"/>
      <c r="M629" s="717"/>
      <c r="N629" s="717"/>
      <c r="O629" s="717"/>
      <c r="P629" s="717"/>
      <c r="Q629" s="717"/>
      <c r="R629" s="717"/>
      <c r="S629" s="717"/>
      <c r="T629" s="717"/>
      <c r="U629" s="717"/>
      <c r="V629" s="717"/>
      <c r="W629" s="717"/>
      <c r="X629" s="717"/>
      <c r="Y629" s="717"/>
      <c r="Z629" s="717"/>
      <c r="AA629" s="717"/>
      <c r="AB629" s="717"/>
      <c r="AC629" s="717"/>
      <c r="AD629" s="717"/>
      <c r="AE629" s="717"/>
      <c r="AF629" s="717"/>
      <c r="AG629" s="717"/>
      <c r="AH629" s="717"/>
      <c r="AI629" s="717"/>
      <c r="AJ629" s="717"/>
      <c r="AK629" s="717"/>
      <c r="AL629" s="717"/>
      <c r="AM629" s="717"/>
      <c r="AN629" s="717"/>
      <c r="AO629" s="717"/>
      <c r="AP629" s="717"/>
      <c r="AQ629" s="717"/>
      <c r="AR629" s="717"/>
      <c r="AS629" s="20"/>
    </row>
    <row r="630" spans="1:45" ht="4.5" customHeight="1" x14ac:dyDescent="0.3">
      <c r="A630" s="13"/>
      <c r="B630" s="69"/>
      <c r="C630" s="31"/>
      <c r="D630" s="31"/>
      <c r="E630" s="32"/>
      <c r="F630" s="33"/>
      <c r="G630" s="31"/>
      <c r="H630" s="31"/>
      <c r="I630" s="31"/>
      <c r="J630" s="215"/>
      <c r="K630" s="212"/>
      <c r="L630" s="212"/>
      <c r="M630" s="212"/>
      <c r="N630" s="212"/>
      <c r="O630" s="212"/>
      <c r="P630" s="212"/>
      <c r="Q630" s="212"/>
      <c r="R630" s="212"/>
      <c r="S630" s="212"/>
      <c r="T630" s="212"/>
      <c r="U630" s="212"/>
      <c r="V630" s="212"/>
      <c r="W630" s="212"/>
      <c r="X630" s="212"/>
      <c r="Y630" s="212"/>
      <c r="Z630" s="212"/>
      <c r="AA630" s="212"/>
      <c r="AB630" s="212"/>
      <c r="AC630" s="212"/>
      <c r="AD630" s="212"/>
      <c r="AE630" s="212"/>
      <c r="AF630" s="212"/>
      <c r="AG630" s="212"/>
      <c r="AH630" s="212"/>
      <c r="AI630" s="212"/>
      <c r="AJ630" s="212"/>
      <c r="AK630" s="212"/>
      <c r="AL630" s="212"/>
      <c r="AM630" s="212"/>
      <c r="AN630" s="212"/>
      <c r="AO630" s="212"/>
      <c r="AP630" s="212"/>
      <c r="AQ630" s="212"/>
      <c r="AR630" s="212"/>
      <c r="AS630" s="20"/>
    </row>
    <row r="631" spans="1:45" ht="13.5" customHeight="1" x14ac:dyDescent="0.3">
      <c r="A631" s="13" t="s">
        <v>283</v>
      </c>
      <c r="B631" s="69"/>
      <c r="E631" s="2"/>
      <c r="F631" s="3"/>
      <c r="J631" s="214"/>
      <c r="K631" s="212"/>
      <c r="L631" s="717" t="s">
        <v>1187</v>
      </c>
      <c r="M631" s="717"/>
      <c r="N631" s="717"/>
      <c r="O631" s="717"/>
      <c r="P631" s="717"/>
      <c r="Q631" s="717"/>
      <c r="R631" s="717"/>
      <c r="S631" s="717"/>
      <c r="T631" s="717"/>
      <c r="U631" s="717"/>
      <c r="V631" s="717"/>
      <c r="W631" s="717"/>
      <c r="X631" s="717"/>
      <c r="Y631" s="717"/>
      <c r="Z631" s="717"/>
      <c r="AA631" s="717"/>
      <c r="AB631" s="717"/>
      <c r="AC631" s="717"/>
      <c r="AD631" s="717"/>
      <c r="AE631" s="717"/>
      <c r="AF631" s="717"/>
      <c r="AG631" s="717"/>
      <c r="AH631" s="717"/>
      <c r="AI631" s="717"/>
      <c r="AJ631" s="717"/>
      <c r="AK631" s="717"/>
      <c r="AL631" s="717"/>
      <c r="AM631" s="717"/>
      <c r="AN631" s="717"/>
      <c r="AO631" s="717"/>
      <c r="AP631" s="717"/>
      <c r="AQ631" s="717"/>
      <c r="AR631" s="717"/>
      <c r="AS631" s="20"/>
    </row>
    <row r="632" spans="1:45" x14ac:dyDescent="0.3">
      <c r="A632" s="13"/>
      <c r="B632" s="69"/>
      <c r="E632" s="11"/>
      <c r="J632" s="214"/>
      <c r="K632" s="212"/>
      <c r="L632" s="717"/>
      <c r="M632" s="717"/>
      <c r="N632" s="717"/>
      <c r="O632" s="717"/>
      <c r="P632" s="717"/>
      <c r="Q632" s="717"/>
      <c r="R632" s="717"/>
      <c r="S632" s="717"/>
      <c r="T632" s="717"/>
      <c r="U632" s="717"/>
      <c r="V632" s="717"/>
      <c r="W632" s="717"/>
      <c r="X632" s="717"/>
      <c r="Y632" s="717"/>
      <c r="Z632" s="717"/>
      <c r="AA632" s="717"/>
      <c r="AB632" s="717"/>
      <c r="AC632" s="717"/>
      <c r="AD632" s="717"/>
      <c r="AE632" s="717"/>
      <c r="AF632" s="717"/>
      <c r="AG632" s="717"/>
      <c r="AH632" s="717"/>
      <c r="AI632" s="717"/>
      <c r="AJ632" s="717"/>
      <c r="AK632" s="717"/>
      <c r="AL632" s="717"/>
      <c r="AM632" s="717"/>
      <c r="AN632" s="717"/>
      <c r="AO632" s="717"/>
      <c r="AP632" s="717"/>
      <c r="AQ632" s="717"/>
      <c r="AR632" s="717"/>
      <c r="AS632" s="20"/>
    </row>
    <row r="633" spans="1:45" ht="4.5" customHeight="1" x14ac:dyDescent="0.3">
      <c r="A633" s="13"/>
      <c r="B633" s="69"/>
      <c r="E633" s="11"/>
      <c r="J633" s="214"/>
      <c r="K633" s="212"/>
      <c r="L633" s="212"/>
      <c r="M633" s="212"/>
      <c r="N633" s="212"/>
      <c r="O633" s="212"/>
      <c r="P633" s="212"/>
      <c r="Q633" s="212"/>
      <c r="R633" s="212"/>
      <c r="S633" s="212"/>
      <c r="T633" s="212"/>
      <c r="U633" s="212"/>
      <c r="V633" s="212"/>
      <c r="W633" s="212"/>
      <c r="X633" s="212"/>
      <c r="Y633" s="212"/>
      <c r="Z633" s="212"/>
      <c r="AA633" s="212"/>
      <c r="AB633" s="212"/>
      <c r="AC633" s="212"/>
      <c r="AD633" s="212"/>
      <c r="AE633" s="212"/>
      <c r="AF633" s="212"/>
      <c r="AG633" s="212"/>
      <c r="AH633" s="212"/>
      <c r="AI633" s="212"/>
      <c r="AJ633" s="212"/>
      <c r="AK633" s="212"/>
      <c r="AL633" s="212"/>
      <c r="AM633" s="212"/>
      <c r="AN633" s="212"/>
      <c r="AO633" s="212"/>
      <c r="AP633" s="212"/>
      <c r="AQ633" s="212"/>
      <c r="AR633" s="212"/>
      <c r="AS633" s="20"/>
    </row>
    <row r="634" spans="1:45" ht="13.5" customHeight="1" x14ac:dyDescent="0.3">
      <c r="A634" s="13" t="s">
        <v>196</v>
      </c>
      <c r="B634" s="69"/>
      <c r="E634" s="2"/>
      <c r="F634" s="3"/>
      <c r="J634" s="214"/>
      <c r="K634" s="212"/>
      <c r="L634" s="717" t="str">
        <f>IF(calculations!B3=1,"Contract review is NOT required by the JCC management OR its legal counsel.","Contract review is not required by the YMCA management or its legal counsel.")</f>
        <v>Contract review is not required by the YMCA management or its legal counsel.</v>
      </c>
      <c r="M634" s="717"/>
      <c r="N634" s="717"/>
      <c r="O634" s="717"/>
      <c r="P634" s="717"/>
      <c r="Q634" s="717"/>
      <c r="R634" s="717"/>
      <c r="S634" s="717"/>
      <c r="T634" s="717"/>
      <c r="U634" s="717"/>
      <c r="V634" s="717"/>
      <c r="W634" s="717"/>
      <c r="X634" s="717"/>
      <c r="Y634" s="717"/>
      <c r="Z634" s="717"/>
      <c r="AA634" s="717"/>
      <c r="AB634" s="717"/>
      <c r="AC634" s="717"/>
      <c r="AD634" s="717"/>
      <c r="AE634" s="717"/>
      <c r="AF634" s="717"/>
      <c r="AG634" s="717"/>
      <c r="AH634" s="717"/>
      <c r="AI634" s="717"/>
      <c r="AJ634" s="717"/>
      <c r="AK634" s="717"/>
      <c r="AL634" s="717"/>
      <c r="AM634" s="717"/>
      <c r="AN634" s="717"/>
      <c r="AO634" s="717"/>
      <c r="AP634" s="717"/>
      <c r="AQ634" s="717"/>
      <c r="AR634" s="717"/>
      <c r="AS634" s="20"/>
    </row>
    <row r="635" spans="1:45" ht="4.5" customHeight="1" x14ac:dyDescent="0.3">
      <c r="E635" s="11"/>
      <c r="J635" s="214"/>
      <c r="K635" s="216"/>
      <c r="L635" s="216"/>
      <c r="M635" s="216"/>
      <c r="N635" s="216"/>
      <c r="O635" s="216"/>
      <c r="P635" s="216"/>
      <c r="Q635" s="216"/>
      <c r="R635" s="216"/>
      <c r="S635" s="216"/>
      <c r="T635" s="216"/>
      <c r="U635" s="216"/>
      <c r="V635" s="216"/>
      <c r="W635" s="216"/>
      <c r="X635" s="216"/>
      <c r="Y635" s="216"/>
      <c r="Z635" s="216"/>
      <c r="AA635" s="216"/>
      <c r="AB635" s="216"/>
      <c r="AC635" s="216"/>
      <c r="AD635" s="216"/>
      <c r="AE635" s="216"/>
      <c r="AF635" s="216"/>
      <c r="AG635" s="216"/>
      <c r="AH635" s="216"/>
      <c r="AI635" s="216"/>
      <c r="AJ635" s="216"/>
      <c r="AK635" s="216"/>
      <c r="AL635" s="216"/>
      <c r="AM635" s="216"/>
      <c r="AN635" s="216"/>
      <c r="AO635" s="216"/>
      <c r="AP635" s="216"/>
      <c r="AQ635" s="216"/>
      <c r="AR635" s="216"/>
      <c r="AS635" s="20"/>
    </row>
    <row r="636" spans="1:45" ht="12.75" customHeight="1" x14ac:dyDescent="0.3">
      <c r="E636" s="11"/>
      <c r="F636" s="13" t="s">
        <v>700</v>
      </c>
      <c r="J636" s="706" t="str">
        <f>IF(calculations!M35,"describe corrective action proposed to correct any Red Flag or Yellow Flag ranking",IF(calculations!N35,"describe corrective action proposed to correct any Red Flag or Yellow Flag ranking","we changed the criteria"))</f>
        <v>we changed the criteria</v>
      </c>
      <c r="K636" s="707"/>
      <c r="L636" s="707"/>
      <c r="M636" s="707"/>
      <c r="N636" s="707"/>
      <c r="O636" s="707"/>
      <c r="P636" s="707"/>
      <c r="Q636" s="707"/>
      <c r="R636" s="707"/>
      <c r="S636" s="707"/>
      <c r="T636" s="707"/>
      <c r="U636" s="707"/>
      <c r="V636" s="707"/>
      <c r="W636" s="707"/>
      <c r="X636" s="707"/>
      <c r="Y636" s="707"/>
      <c r="Z636" s="707"/>
      <c r="AA636" s="707"/>
      <c r="AB636" s="707"/>
      <c r="AC636" s="707"/>
      <c r="AD636" s="707"/>
      <c r="AE636" s="707"/>
      <c r="AF636" s="707"/>
      <c r="AG636" s="707"/>
      <c r="AH636" s="707"/>
      <c r="AI636" s="707"/>
      <c r="AJ636" s="707"/>
      <c r="AK636" s="707"/>
      <c r="AL636" s="707"/>
      <c r="AM636" s="707"/>
      <c r="AN636" s="707"/>
      <c r="AO636" s="707"/>
      <c r="AP636" s="707"/>
      <c r="AQ636" s="707"/>
      <c r="AR636" s="708"/>
      <c r="AS636" s="20"/>
    </row>
    <row r="637" spans="1:45" ht="4.5" customHeight="1" x14ac:dyDescent="0.3">
      <c r="E637" s="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0"/>
    </row>
    <row r="638" spans="1:45" ht="25.5" customHeight="1" x14ac:dyDescent="0.3">
      <c r="E638" s="11"/>
      <c r="F638" s="55" t="str">
        <f>IF(J638&gt;"","REC",IF(calculations!M35,"REC",IF(calculations!N35,"REC","")))</f>
        <v/>
      </c>
      <c r="G638" s="38"/>
      <c r="J638" s="724" t="str">
        <f>IF(calculations!M35=TRUE,Rec!E62,IF(calculations!N35=TRUE,Rec!E63,""))</f>
        <v/>
      </c>
      <c r="K638" s="725"/>
      <c r="L638" s="725"/>
      <c r="M638" s="725"/>
      <c r="N638" s="725"/>
      <c r="O638" s="725"/>
      <c r="P638" s="725"/>
      <c r="Q638" s="725"/>
      <c r="R638" s="725"/>
      <c r="S638" s="725"/>
      <c r="T638" s="725"/>
      <c r="U638" s="725"/>
      <c r="V638" s="725"/>
      <c r="W638" s="725"/>
      <c r="X638" s="725"/>
      <c r="Y638" s="725"/>
      <c r="Z638" s="725"/>
      <c r="AA638" s="725"/>
      <c r="AB638" s="725"/>
      <c r="AC638" s="725"/>
      <c r="AD638" s="725"/>
      <c r="AE638" s="725"/>
      <c r="AF638" s="725"/>
      <c r="AG638" s="725"/>
      <c r="AH638" s="725"/>
      <c r="AI638" s="725"/>
      <c r="AJ638" s="725"/>
      <c r="AK638" s="725"/>
      <c r="AL638" s="725"/>
      <c r="AM638" s="725"/>
      <c r="AN638" s="725"/>
      <c r="AO638" s="725"/>
      <c r="AP638" s="725"/>
      <c r="AQ638" s="725"/>
      <c r="AR638" s="726"/>
      <c r="AS638" s="20"/>
    </row>
    <row r="639" spans="1:45" ht="13.5" customHeight="1" x14ac:dyDescent="0.3">
      <c r="E639" s="11"/>
      <c r="F639" s="3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0"/>
    </row>
    <row r="640" spans="1:45" ht="23.25" customHeight="1" x14ac:dyDescent="0.3">
      <c r="A640" s="736" t="s">
        <v>361</v>
      </c>
      <c r="B640" s="689"/>
      <c r="C640" s="689"/>
      <c r="D640" s="689"/>
      <c r="E640" s="689"/>
      <c r="F640" s="689"/>
      <c r="G640" s="689"/>
      <c r="H640" s="689"/>
      <c r="I640" s="689"/>
      <c r="J640" s="689"/>
      <c r="K640" s="689"/>
      <c r="L640" s="689"/>
      <c r="M640" s="689"/>
      <c r="N640" s="689"/>
      <c r="O640" s="689"/>
      <c r="P640" s="689"/>
      <c r="Q640" s="689"/>
      <c r="R640" s="689"/>
      <c r="S640" s="689"/>
      <c r="T640" s="689"/>
      <c r="U640" s="689"/>
      <c r="V640" s="689"/>
      <c r="W640" s="689"/>
      <c r="X640" s="689"/>
      <c r="Y640" s="689"/>
      <c r="Z640" s="689"/>
      <c r="AA640" s="689"/>
      <c r="AB640" s="689"/>
      <c r="AC640" s="689"/>
      <c r="AD640" s="689"/>
      <c r="AE640" s="689"/>
      <c r="AF640" s="689"/>
      <c r="AG640" s="689"/>
      <c r="AH640" s="689"/>
      <c r="AI640" s="689"/>
      <c r="AJ640" s="689"/>
      <c r="AK640" s="689"/>
      <c r="AL640" s="689"/>
      <c r="AM640" s="689"/>
      <c r="AN640" s="689"/>
      <c r="AO640" s="689"/>
      <c r="AP640" s="689"/>
      <c r="AQ640" s="689"/>
      <c r="AR640" s="689"/>
      <c r="AS640" s="20"/>
    </row>
    <row r="641" spans="1:45" x14ac:dyDescent="0.3">
      <c r="F641" s="11"/>
      <c r="AC641" s="691" t="s">
        <v>693</v>
      </c>
      <c r="AD641" s="692"/>
      <c r="AE641" s="692"/>
      <c r="AF641" s="692"/>
      <c r="AG641" s="692"/>
      <c r="AH641" s="693"/>
      <c r="AJ641" s="691" t="s">
        <v>694</v>
      </c>
      <c r="AK641" s="692"/>
      <c r="AL641" s="692"/>
      <c r="AM641" s="692"/>
      <c r="AN641" s="692"/>
      <c r="AO641" s="692"/>
      <c r="AP641" s="692"/>
      <c r="AQ641" s="692"/>
      <c r="AR641" s="693"/>
      <c r="AS641" s="20"/>
    </row>
    <row r="642" spans="1:45" x14ac:dyDescent="0.3">
      <c r="F642" s="11"/>
      <c r="AJ642" s="737" t="s">
        <v>695</v>
      </c>
      <c r="AK642" s="738"/>
      <c r="AL642" s="738"/>
      <c r="AM642" s="738"/>
      <c r="AN642" s="738"/>
      <c r="AO642" s="738"/>
      <c r="AP642" s="738"/>
      <c r="AQ642" s="738"/>
      <c r="AR642" s="739"/>
      <c r="AS642" s="20"/>
    </row>
    <row r="643" spans="1:45" x14ac:dyDescent="0.3">
      <c r="E643" s="11"/>
      <c r="AS643" s="20"/>
    </row>
    <row r="644" spans="1:45" ht="14.15" x14ac:dyDescent="0.35">
      <c r="A644" s="735">
        <v>5.0999999999999996</v>
      </c>
      <c r="B644" s="735"/>
      <c r="D644" s="30" t="s">
        <v>190</v>
      </c>
      <c r="E644" s="11"/>
      <c r="T644" s="66"/>
      <c r="AS644" s="20"/>
    </row>
    <row r="645" spans="1:45" ht="4.5" customHeight="1" x14ac:dyDescent="0.35">
      <c r="A645" s="374"/>
      <c r="B645" s="374"/>
      <c r="D645" s="30"/>
      <c r="E645" s="11"/>
      <c r="T645" s="66"/>
      <c r="AS645" s="20"/>
    </row>
    <row r="646" spans="1:45" ht="14.15" x14ac:dyDescent="0.35">
      <c r="A646" s="13" t="s">
        <v>362</v>
      </c>
      <c r="B646" s="374"/>
      <c r="D646" s="30"/>
      <c r="E646" s="11"/>
      <c r="L646" s="25" t="s">
        <v>2003</v>
      </c>
      <c r="T646" s="66"/>
      <c r="AS646" s="20"/>
    </row>
    <row r="647" spans="1:45" ht="4.5" customHeight="1" x14ac:dyDescent="0.3">
      <c r="A647" s="13"/>
      <c r="B647" s="69"/>
      <c r="E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20"/>
    </row>
    <row r="648" spans="1:45" ht="24.75" customHeight="1" x14ac:dyDescent="0.3">
      <c r="A648" s="13"/>
      <c r="B648" s="69"/>
      <c r="C648" s="31"/>
      <c r="D648" s="31"/>
      <c r="E648" s="32"/>
      <c r="F648" s="33"/>
      <c r="G648" s="31"/>
      <c r="H648" s="31"/>
      <c r="I648" s="31"/>
      <c r="J648" s="215"/>
      <c r="K648" s="212"/>
      <c r="L648" s="717" t="s">
        <v>1815</v>
      </c>
      <c r="M648" s="717"/>
      <c r="N648" s="717"/>
      <c r="O648" s="717"/>
      <c r="P648" s="717"/>
      <c r="Q648" s="717"/>
      <c r="R648" s="717"/>
      <c r="S648" s="717"/>
      <c r="T648" s="717"/>
      <c r="U648" s="717"/>
      <c r="V648" s="717"/>
      <c r="W648" s="717"/>
      <c r="X648" s="717"/>
      <c r="Y648" s="717"/>
      <c r="Z648" s="717"/>
      <c r="AA648" s="717"/>
      <c r="AB648" s="717"/>
      <c r="AC648" s="717"/>
      <c r="AD648" s="717"/>
      <c r="AE648" s="717"/>
      <c r="AF648" s="717"/>
      <c r="AG648" s="717"/>
      <c r="AH648" s="717"/>
      <c r="AI648" s="717"/>
      <c r="AJ648" s="717"/>
      <c r="AK648" s="717"/>
      <c r="AL648" s="717"/>
      <c r="AM648" s="717"/>
      <c r="AN648" s="717"/>
      <c r="AO648" s="717"/>
      <c r="AP648" s="717"/>
      <c r="AQ648" s="717"/>
      <c r="AR648" s="717"/>
      <c r="AS648" s="20"/>
    </row>
    <row r="649" spans="1:45" ht="0.75" customHeight="1" x14ac:dyDescent="0.3">
      <c r="A649" s="13"/>
      <c r="B649" s="69"/>
      <c r="C649" s="31"/>
      <c r="D649" s="31"/>
      <c r="E649" s="34"/>
      <c r="F649" s="31"/>
      <c r="G649" s="31"/>
      <c r="H649" s="31"/>
      <c r="I649" s="31"/>
      <c r="J649" s="215"/>
      <c r="K649" s="212"/>
      <c r="L649" s="717"/>
      <c r="M649" s="717"/>
      <c r="N649" s="717"/>
      <c r="O649" s="717"/>
      <c r="P649" s="717"/>
      <c r="Q649" s="717"/>
      <c r="R649" s="717"/>
      <c r="S649" s="717"/>
      <c r="T649" s="717"/>
      <c r="U649" s="717"/>
      <c r="V649" s="717"/>
      <c r="W649" s="717"/>
      <c r="X649" s="717"/>
      <c r="Y649" s="717"/>
      <c r="Z649" s="717"/>
      <c r="AA649" s="717"/>
      <c r="AB649" s="717"/>
      <c r="AC649" s="717"/>
      <c r="AD649" s="717"/>
      <c r="AE649" s="717"/>
      <c r="AF649" s="717"/>
      <c r="AG649" s="717"/>
      <c r="AH649" s="717"/>
      <c r="AI649" s="717"/>
      <c r="AJ649" s="717"/>
      <c r="AK649" s="717"/>
      <c r="AL649" s="717"/>
      <c r="AM649" s="717"/>
      <c r="AN649" s="717"/>
      <c r="AO649" s="717"/>
      <c r="AP649" s="717"/>
      <c r="AQ649" s="717"/>
      <c r="AR649" s="717"/>
      <c r="AS649" s="20"/>
    </row>
    <row r="650" spans="1:45" ht="12.75" hidden="1" customHeight="1" x14ac:dyDescent="0.3">
      <c r="A650" s="13" t="s">
        <v>363</v>
      </c>
      <c r="B650" s="69"/>
      <c r="C650" s="31"/>
      <c r="D650" s="31"/>
      <c r="E650" s="32"/>
      <c r="F650" s="33"/>
      <c r="G650" s="31"/>
      <c r="H650" s="31"/>
      <c r="I650" s="31"/>
      <c r="J650" s="215"/>
      <c r="K650" s="212"/>
      <c r="L650" s="717"/>
      <c r="M650" s="717"/>
      <c r="N650" s="717"/>
      <c r="O650" s="717"/>
      <c r="P650" s="717"/>
      <c r="Q650" s="717"/>
      <c r="R650" s="717"/>
      <c r="S650" s="717"/>
      <c r="T650" s="717"/>
      <c r="U650" s="717"/>
      <c r="V650" s="717"/>
      <c r="W650" s="717"/>
      <c r="X650" s="717"/>
      <c r="Y650" s="717"/>
      <c r="Z650" s="717"/>
      <c r="AA650" s="717"/>
      <c r="AB650" s="717"/>
      <c r="AC650" s="717"/>
      <c r="AD650" s="717"/>
      <c r="AE650" s="717"/>
      <c r="AF650" s="717"/>
      <c r="AG650" s="717"/>
      <c r="AH650" s="717"/>
      <c r="AI650" s="717"/>
      <c r="AJ650" s="717"/>
      <c r="AK650" s="717"/>
      <c r="AL650" s="717"/>
      <c r="AM650" s="717"/>
      <c r="AN650" s="717"/>
      <c r="AO650" s="717"/>
      <c r="AP650" s="717"/>
      <c r="AQ650" s="717"/>
      <c r="AR650" s="717"/>
      <c r="AS650" s="20"/>
    </row>
    <row r="651" spans="1:45" ht="4.5" customHeight="1" x14ac:dyDescent="0.3">
      <c r="A651" s="13"/>
      <c r="B651" s="69"/>
      <c r="C651" s="31"/>
      <c r="D651" s="31"/>
      <c r="E651" s="32"/>
      <c r="F651" s="33"/>
      <c r="G651" s="31"/>
      <c r="H651" s="31"/>
      <c r="I651" s="31"/>
      <c r="J651" s="215"/>
      <c r="K651" s="212"/>
      <c r="L651" s="212"/>
      <c r="M651" s="212"/>
      <c r="N651" s="212"/>
      <c r="O651" s="212"/>
      <c r="P651" s="212"/>
      <c r="Q651" s="212"/>
      <c r="R651" s="212"/>
      <c r="S651" s="212"/>
      <c r="T651" s="212"/>
      <c r="U651" s="212"/>
      <c r="V651" s="212"/>
      <c r="W651" s="212"/>
      <c r="X651" s="212"/>
      <c r="Y651" s="212"/>
      <c r="Z651" s="212"/>
      <c r="AA651" s="212"/>
      <c r="AB651" s="212"/>
      <c r="AC651" s="212"/>
      <c r="AD651" s="212"/>
      <c r="AE651" s="212"/>
      <c r="AF651" s="212"/>
      <c r="AG651" s="212"/>
      <c r="AH651" s="212"/>
      <c r="AI651" s="212"/>
      <c r="AJ651" s="212"/>
      <c r="AK651" s="212"/>
      <c r="AL651" s="212"/>
      <c r="AM651" s="212"/>
      <c r="AN651" s="212"/>
      <c r="AO651" s="212"/>
      <c r="AP651" s="212"/>
      <c r="AQ651" s="212"/>
      <c r="AR651" s="212"/>
      <c r="AS651" s="20"/>
    </row>
    <row r="652" spans="1:45" ht="51.75" customHeight="1" x14ac:dyDescent="0.3">
      <c r="A652" s="13" t="s">
        <v>364</v>
      </c>
      <c r="B652" s="69"/>
      <c r="C652" s="31"/>
      <c r="D652" s="31"/>
      <c r="E652" s="34"/>
      <c r="F652" s="31"/>
      <c r="G652" s="31"/>
      <c r="H652" s="31"/>
      <c r="I652" s="31"/>
      <c r="J652" s="215"/>
      <c r="K652" s="212"/>
      <c r="L652" s="717" t="s">
        <v>1189</v>
      </c>
      <c r="M652" s="717"/>
      <c r="N652" s="717"/>
      <c r="O652" s="717"/>
      <c r="P652" s="717"/>
      <c r="Q652" s="717"/>
      <c r="R652" s="717"/>
      <c r="S652" s="717"/>
      <c r="T652" s="717"/>
      <c r="U652" s="717"/>
      <c r="V652" s="717"/>
      <c r="W652" s="717"/>
      <c r="X652" s="717"/>
      <c r="Y652" s="717"/>
      <c r="Z652" s="717"/>
      <c r="AA652" s="717"/>
      <c r="AB652" s="717"/>
      <c r="AC652" s="717"/>
      <c r="AD652" s="717"/>
      <c r="AE652" s="717"/>
      <c r="AF652" s="717"/>
      <c r="AG652" s="717"/>
      <c r="AH652" s="717"/>
      <c r="AI652" s="717"/>
      <c r="AJ652" s="717"/>
      <c r="AK652" s="717"/>
      <c r="AL652" s="717"/>
      <c r="AM652" s="717"/>
      <c r="AN652" s="717"/>
      <c r="AO652" s="717"/>
      <c r="AP652" s="717"/>
      <c r="AQ652" s="717"/>
      <c r="AR652" s="717"/>
      <c r="AS652" s="20"/>
    </row>
    <row r="653" spans="1:45" ht="4.5" customHeight="1" x14ac:dyDescent="0.3">
      <c r="A653" s="13"/>
      <c r="B653" s="69"/>
      <c r="C653" s="31"/>
      <c r="D653" s="31"/>
      <c r="E653" s="34"/>
      <c r="F653" s="31"/>
      <c r="G653" s="31"/>
      <c r="H653" s="31"/>
      <c r="I653" s="31"/>
      <c r="J653" s="215"/>
      <c r="K653" s="212"/>
      <c r="L653" s="212"/>
      <c r="M653" s="212"/>
      <c r="N653" s="212"/>
      <c r="O653" s="212"/>
      <c r="P653" s="212"/>
      <c r="Q653" s="212"/>
      <c r="R653" s="212"/>
      <c r="S653" s="212"/>
      <c r="T653" s="212"/>
      <c r="U653" s="212"/>
      <c r="V653" s="212"/>
      <c r="W653" s="212"/>
      <c r="X653" s="212"/>
      <c r="Y653" s="212"/>
      <c r="Z653" s="212"/>
      <c r="AA653" s="212"/>
      <c r="AB653" s="212"/>
      <c r="AC653" s="212"/>
      <c r="AD653" s="212"/>
      <c r="AE653" s="212"/>
      <c r="AF653" s="212"/>
      <c r="AG653" s="212"/>
      <c r="AH653" s="212"/>
      <c r="AI653" s="212"/>
      <c r="AJ653" s="212"/>
      <c r="AK653" s="212"/>
      <c r="AL653" s="212"/>
      <c r="AM653" s="212"/>
      <c r="AN653" s="212"/>
      <c r="AO653" s="212"/>
      <c r="AP653" s="212"/>
      <c r="AQ653" s="212"/>
      <c r="AR653" s="212"/>
      <c r="AS653" s="20"/>
    </row>
    <row r="654" spans="1:45" ht="25.5" customHeight="1" x14ac:dyDescent="0.3">
      <c r="A654" s="13" t="s">
        <v>365</v>
      </c>
      <c r="B654" s="69"/>
      <c r="C654" s="31"/>
      <c r="D654" s="31"/>
      <c r="E654" s="32"/>
      <c r="F654" s="33"/>
      <c r="G654" s="31"/>
      <c r="H654" s="31"/>
      <c r="I654" s="31"/>
      <c r="J654" s="215"/>
      <c r="K654" s="212"/>
      <c r="L654" s="717" t="s">
        <v>1190</v>
      </c>
      <c r="M654" s="717"/>
      <c r="N654" s="717"/>
      <c r="O654" s="717"/>
      <c r="P654" s="717"/>
      <c r="Q654" s="717"/>
      <c r="R654" s="717"/>
      <c r="S654" s="717"/>
      <c r="T654" s="717"/>
      <c r="U654" s="717"/>
      <c r="V654" s="717"/>
      <c r="W654" s="717"/>
      <c r="X654" s="717"/>
      <c r="Y654" s="717"/>
      <c r="Z654" s="717"/>
      <c r="AA654" s="717"/>
      <c r="AB654" s="717"/>
      <c r="AC654" s="717"/>
      <c r="AD654" s="717"/>
      <c r="AE654" s="717"/>
      <c r="AF654" s="717"/>
      <c r="AG654" s="717"/>
      <c r="AH654" s="717"/>
      <c r="AI654" s="717"/>
      <c r="AJ654" s="717"/>
      <c r="AK654" s="717"/>
      <c r="AL654" s="717"/>
      <c r="AM654" s="717"/>
      <c r="AN654" s="717"/>
      <c r="AO654" s="717"/>
      <c r="AP654" s="717"/>
      <c r="AQ654" s="717"/>
      <c r="AR654" s="717"/>
      <c r="AS654" s="20"/>
    </row>
    <row r="655" spans="1:45" ht="4.5" customHeight="1" x14ac:dyDescent="0.3">
      <c r="A655" s="13"/>
      <c r="B655" s="69"/>
      <c r="E655" s="35"/>
      <c r="J655" s="214"/>
      <c r="K655" s="212"/>
      <c r="L655" s="212"/>
      <c r="M655" s="212"/>
      <c r="N655" s="212"/>
      <c r="O655" s="212"/>
      <c r="P655" s="212"/>
      <c r="Q655" s="212"/>
      <c r="R655" s="212"/>
      <c r="S655" s="212"/>
      <c r="T655" s="212"/>
      <c r="U655" s="212"/>
      <c r="V655" s="212"/>
      <c r="W655" s="212"/>
      <c r="X655" s="212"/>
      <c r="Y655" s="212"/>
      <c r="Z655" s="212"/>
      <c r="AA655" s="212"/>
      <c r="AB655" s="212"/>
      <c r="AC655" s="212"/>
      <c r="AD655" s="212"/>
      <c r="AE655" s="212"/>
      <c r="AF655" s="212"/>
      <c r="AG655" s="212"/>
      <c r="AH655" s="212"/>
      <c r="AI655" s="212"/>
      <c r="AJ655" s="212"/>
      <c r="AK655" s="212"/>
      <c r="AL655" s="212"/>
      <c r="AM655" s="212"/>
      <c r="AN655" s="212"/>
      <c r="AO655" s="212"/>
      <c r="AP655" s="212"/>
      <c r="AQ655" s="212"/>
      <c r="AR655" s="212"/>
      <c r="AS655" s="20"/>
    </row>
    <row r="656" spans="1:45" ht="24.75" customHeight="1" x14ac:dyDescent="0.3">
      <c r="A656" s="13" t="s">
        <v>366</v>
      </c>
      <c r="B656" s="69"/>
      <c r="E656" s="11"/>
      <c r="F656" s="3"/>
      <c r="J656" s="214"/>
      <c r="K656" s="212"/>
      <c r="L656" s="717" t="s">
        <v>1191</v>
      </c>
      <c r="M656" s="717"/>
      <c r="N656" s="717"/>
      <c r="O656" s="717"/>
      <c r="P656" s="717"/>
      <c r="Q656" s="717"/>
      <c r="R656" s="717"/>
      <c r="S656" s="717"/>
      <c r="T656" s="717"/>
      <c r="U656" s="717"/>
      <c r="V656" s="717"/>
      <c r="W656" s="717"/>
      <c r="X656" s="717"/>
      <c r="Y656" s="717"/>
      <c r="Z656" s="717"/>
      <c r="AA656" s="717"/>
      <c r="AB656" s="717"/>
      <c r="AC656" s="717"/>
      <c r="AD656" s="717"/>
      <c r="AE656" s="717"/>
      <c r="AF656" s="717"/>
      <c r="AG656" s="717"/>
      <c r="AH656" s="717"/>
      <c r="AI656" s="717"/>
      <c r="AJ656" s="717"/>
      <c r="AK656" s="717"/>
      <c r="AL656" s="717"/>
      <c r="AM656" s="717"/>
      <c r="AN656" s="717"/>
      <c r="AO656" s="717"/>
      <c r="AP656" s="717"/>
      <c r="AQ656" s="717"/>
      <c r="AR656" s="717"/>
      <c r="AS656" s="20"/>
    </row>
    <row r="657" spans="1:45" ht="4.5" customHeight="1" x14ac:dyDescent="0.3">
      <c r="B657" s="69"/>
      <c r="E657" s="11"/>
      <c r="J657" s="214"/>
      <c r="K657" s="212"/>
      <c r="L657" s="212"/>
      <c r="M657" s="212"/>
      <c r="N657" s="212"/>
      <c r="O657" s="212"/>
      <c r="P657" s="212"/>
      <c r="Q657" s="212"/>
      <c r="R657" s="212"/>
      <c r="S657" s="212"/>
      <c r="T657" s="212"/>
      <c r="U657" s="212"/>
      <c r="V657" s="212"/>
      <c r="W657" s="212"/>
      <c r="X657" s="212"/>
      <c r="Y657" s="212"/>
      <c r="Z657" s="212"/>
      <c r="AA657" s="212"/>
      <c r="AB657" s="212"/>
      <c r="AC657" s="212"/>
      <c r="AD657" s="212"/>
      <c r="AE657" s="212"/>
      <c r="AF657" s="212"/>
      <c r="AG657" s="212"/>
      <c r="AH657" s="212"/>
      <c r="AI657" s="212"/>
      <c r="AJ657" s="212"/>
      <c r="AK657" s="212"/>
      <c r="AL657" s="212"/>
      <c r="AM657" s="212"/>
      <c r="AN657" s="212"/>
      <c r="AO657" s="212"/>
      <c r="AP657" s="212"/>
      <c r="AQ657" s="212"/>
      <c r="AR657" s="212"/>
      <c r="AS657" s="20"/>
    </row>
    <row r="658" spans="1:45" ht="26.25" customHeight="1" x14ac:dyDescent="0.3">
      <c r="A658" s="13" t="s">
        <v>1366</v>
      </c>
      <c r="B658" s="69"/>
      <c r="C658" s="31"/>
      <c r="D658" s="31"/>
      <c r="E658" s="32"/>
      <c r="F658" s="33"/>
      <c r="G658" s="31"/>
      <c r="H658" s="31"/>
      <c r="I658" s="31"/>
      <c r="J658" s="215"/>
      <c r="K658" s="212"/>
      <c r="L658" s="717" t="s">
        <v>1192</v>
      </c>
      <c r="M658" s="717"/>
      <c r="N658" s="717"/>
      <c r="O658" s="717"/>
      <c r="P658" s="717"/>
      <c r="Q658" s="717"/>
      <c r="R658" s="717"/>
      <c r="S658" s="717"/>
      <c r="T658" s="717"/>
      <c r="U658" s="717"/>
      <c r="V658" s="717"/>
      <c r="W658" s="717"/>
      <c r="X658" s="717"/>
      <c r="Y658" s="717"/>
      <c r="Z658" s="717"/>
      <c r="AA658" s="717"/>
      <c r="AB658" s="717"/>
      <c r="AC658" s="717"/>
      <c r="AD658" s="717"/>
      <c r="AE658" s="717"/>
      <c r="AF658" s="717"/>
      <c r="AG658" s="717"/>
      <c r="AH658" s="717"/>
      <c r="AI658" s="717"/>
      <c r="AJ658" s="717"/>
      <c r="AK658" s="717"/>
      <c r="AL658" s="717"/>
      <c r="AM658" s="717"/>
      <c r="AN658" s="717"/>
      <c r="AO658" s="717"/>
      <c r="AP658" s="717"/>
      <c r="AQ658" s="717"/>
      <c r="AR658" s="717"/>
      <c r="AS658" s="20"/>
    </row>
    <row r="659" spans="1:45" ht="4.5" customHeight="1" x14ac:dyDescent="0.3">
      <c r="E659" s="11"/>
      <c r="J659" s="214"/>
      <c r="K659" s="216"/>
      <c r="L659" s="216"/>
      <c r="M659" s="216"/>
      <c r="N659" s="216"/>
      <c r="O659" s="216"/>
      <c r="P659" s="216"/>
      <c r="Q659" s="216"/>
      <c r="R659" s="216"/>
      <c r="S659" s="216"/>
      <c r="T659" s="216"/>
      <c r="U659" s="216"/>
      <c r="V659" s="216"/>
      <c r="W659" s="216"/>
      <c r="X659" s="216"/>
      <c r="Y659" s="216"/>
      <c r="Z659" s="216"/>
      <c r="AA659" s="216"/>
      <c r="AB659" s="216"/>
      <c r="AC659" s="216"/>
      <c r="AD659" s="216"/>
      <c r="AE659" s="216"/>
      <c r="AF659" s="216"/>
      <c r="AG659" s="216"/>
      <c r="AH659" s="216"/>
      <c r="AI659" s="216"/>
      <c r="AJ659" s="216"/>
      <c r="AK659" s="216"/>
      <c r="AL659" s="216"/>
      <c r="AM659" s="216"/>
      <c r="AN659" s="216"/>
      <c r="AO659" s="216"/>
      <c r="AP659" s="216"/>
      <c r="AQ659" s="216"/>
      <c r="AR659" s="216"/>
      <c r="AS659" s="20"/>
    </row>
    <row r="660" spans="1:45" x14ac:dyDescent="0.3">
      <c r="E660" s="11"/>
      <c r="F660" s="13" t="s">
        <v>700</v>
      </c>
      <c r="J660" s="706" t="str">
        <f>IF(calculations!M40,"describe corrective action proposed to correct any Red Flag or Yellow Flag ranking",IF(calculations!N40,"describe corrective action proposed to correct any Red Flag or Yellow Flag ranking","we changed the criteria"))</f>
        <v>we changed the criteria</v>
      </c>
      <c r="K660" s="707"/>
      <c r="L660" s="707"/>
      <c r="M660" s="707"/>
      <c r="N660" s="707"/>
      <c r="O660" s="707"/>
      <c r="P660" s="707"/>
      <c r="Q660" s="707"/>
      <c r="R660" s="707"/>
      <c r="S660" s="707"/>
      <c r="T660" s="707"/>
      <c r="U660" s="707"/>
      <c r="V660" s="707"/>
      <c r="W660" s="707"/>
      <c r="X660" s="707"/>
      <c r="Y660" s="707"/>
      <c r="Z660" s="707"/>
      <c r="AA660" s="707"/>
      <c r="AB660" s="707"/>
      <c r="AC660" s="707"/>
      <c r="AD660" s="707"/>
      <c r="AE660" s="707"/>
      <c r="AF660" s="707"/>
      <c r="AG660" s="707"/>
      <c r="AH660" s="707"/>
      <c r="AI660" s="707"/>
      <c r="AJ660" s="707"/>
      <c r="AK660" s="707"/>
      <c r="AL660" s="707"/>
      <c r="AM660" s="707"/>
      <c r="AN660" s="707"/>
      <c r="AO660" s="707"/>
      <c r="AP660" s="707"/>
      <c r="AQ660" s="707"/>
      <c r="AR660" s="708"/>
      <c r="AS660" s="20"/>
    </row>
    <row r="661" spans="1:45" ht="4.5" customHeight="1" x14ac:dyDescent="0.3">
      <c r="E661" s="11"/>
      <c r="G661" s="38"/>
      <c r="J661" s="214"/>
      <c r="K661" s="214"/>
      <c r="L661" s="214"/>
      <c r="M661" s="214"/>
      <c r="N661" s="214"/>
      <c r="O661" s="214"/>
      <c r="P661" s="214"/>
      <c r="Q661" s="214"/>
      <c r="R661" s="214"/>
      <c r="S661" s="214"/>
      <c r="T661" s="214"/>
      <c r="U661" s="214"/>
      <c r="V661" s="214"/>
      <c r="W661" s="214"/>
      <c r="X661" s="214"/>
      <c r="Y661" s="214"/>
      <c r="Z661" s="214"/>
      <c r="AA661" s="214"/>
      <c r="AB661" s="214"/>
      <c r="AC661" s="214"/>
      <c r="AD661" s="214"/>
      <c r="AE661" s="214"/>
      <c r="AF661" s="214"/>
      <c r="AG661" s="214"/>
      <c r="AH661" s="214"/>
      <c r="AI661" s="214"/>
      <c r="AJ661" s="214"/>
      <c r="AK661" s="214"/>
      <c r="AL661" s="214"/>
      <c r="AM661" s="214"/>
      <c r="AN661" s="214"/>
      <c r="AO661" s="214"/>
      <c r="AP661" s="214"/>
      <c r="AQ661" s="214"/>
      <c r="AR661" s="214"/>
      <c r="AS661" s="20"/>
    </row>
    <row r="662" spans="1:45" ht="27" customHeight="1" x14ac:dyDescent="0.3">
      <c r="E662" s="11"/>
      <c r="F662" s="55" t="str">
        <f>IF(calculations!M40,"OFE",IF(calculations!N40,"REC",IF(J662&gt;"","REC","")))</f>
        <v/>
      </c>
      <c r="G662" s="38"/>
      <c r="J662" s="724" t="str">
        <f>IF(calculations!M40,CONCATENATE("OFE:  ",Rec!E64),IF(calculations!N40,Rec!E65,""))</f>
        <v/>
      </c>
      <c r="K662" s="725"/>
      <c r="L662" s="725"/>
      <c r="M662" s="725"/>
      <c r="N662" s="725"/>
      <c r="O662" s="725"/>
      <c r="P662" s="725"/>
      <c r="Q662" s="725"/>
      <c r="R662" s="725"/>
      <c r="S662" s="725"/>
      <c r="T662" s="725"/>
      <c r="U662" s="725"/>
      <c r="V662" s="725"/>
      <c r="W662" s="725"/>
      <c r="X662" s="725"/>
      <c r="Y662" s="725"/>
      <c r="Z662" s="725"/>
      <c r="AA662" s="725"/>
      <c r="AB662" s="725"/>
      <c r="AC662" s="725"/>
      <c r="AD662" s="725"/>
      <c r="AE662" s="725"/>
      <c r="AF662" s="725"/>
      <c r="AG662" s="725"/>
      <c r="AH662" s="725"/>
      <c r="AI662" s="725"/>
      <c r="AJ662" s="725"/>
      <c r="AK662" s="725"/>
      <c r="AL662" s="725"/>
      <c r="AM662" s="725"/>
      <c r="AN662" s="725"/>
      <c r="AO662" s="725"/>
      <c r="AP662" s="725"/>
      <c r="AQ662" s="725"/>
      <c r="AR662" s="726"/>
      <c r="AS662" s="20"/>
    </row>
    <row r="663" spans="1:45" ht="13.5" customHeight="1" x14ac:dyDescent="0.3">
      <c r="E663" s="11"/>
      <c r="F663" s="37"/>
      <c r="AS663" s="20"/>
    </row>
    <row r="664" spans="1:45" ht="14.15" x14ac:dyDescent="0.35">
      <c r="A664" s="735">
        <v>5.2</v>
      </c>
      <c r="B664" s="735"/>
      <c r="D664" s="47" t="s">
        <v>179</v>
      </c>
      <c r="E664" s="44"/>
      <c r="F664" s="39"/>
      <c r="G664" s="39"/>
      <c r="H664" s="39"/>
      <c r="I664" s="39"/>
      <c r="J664" s="39"/>
      <c r="K664" s="39"/>
      <c r="L664" s="39"/>
      <c r="M664" s="39"/>
      <c r="N664" s="39"/>
      <c r="O664" s="39"/>
      <c r="P664" s="39"/>
      <c r="Q664" s="39"/>
      <c r="R664" s="39"/>
      <c r="S664" s="39"/>
      <c r="T664" s="39"/>
      <c r="U664" s="39"/>
      <c r="V664" s="39"/>
      <c r="W664" s="39"/>
      <c r="X664" s="39"/>
      <c r="Y664" s="39"/>
      <c r="Z664" s="39"/>
      <c r="AS664" s="20"/>
    </row>
    <row r="665" spans="1:45" ht="4.5" customHeight="1" x14ac:dyDescent="0.35">
      <c r="A665" s="374"/>
      <c r="B665" s="374"/>
      <c r="D665" s="47"/>
      <c r="E665" s="44"/>
      <c r="F665" s="39"/>
      <c r="G665" s="39"/>
      <c r="H665" s="39"/>
      <c r="I665" s="39"/>
      <c r="J665" s="39"/>
      <c r="K665" s="39"/>
      <c r="L665" s="39"/>
      <c r="M665" s="39"/>
      <c r="N665" s="39"/>
      <c r="O665" s="39"/>
      <c r="P665" s="39"/>
      <c r="Q665" s="39"/>
      <c r="R665" s="39"/>
      <c r="S665" s="39"/>
      <c r="T665" s="39"/>
      <c r="U665" s="39"/>
      <c r="V665" s="39"/>
      <c r="W665" s="39"/>
      <c r="X665" s="39"/>
      <c r="Y665" s="39"/>
      <c r="Z665" s="39"/>
      <c r="AS665" s="20"/>
    </row>
    <row r="666" spans="1:45" ht="12.75" customHeight="1" x14ac:dyDescent="0.35">
      <c r="A666" s="13" t="s">
        <v>367</v>
      </c>
      <c r="B666" s="374"/>
      <c r="D666" s="47"/>
      <c r="E666" s="44"/>
      <c r="F666" s="39"/>
      <c r="G666" s="39"/>
      <c r="H666" s="39"/>
      <c r="I666" s="39"/>
      <c r="J666" s="39"/>
      <c r="K666" s="39"/>
      <c r="L666" s="25" t="s">
        <v>1902</v>
      </c>
      <c r="M666" s="39"/>
      <c r="N666" s="39"/>
      <c r="O666" s="39"/>
      <c r="P666" s="39"/>
      <c r="Q666" s="39"/>
      <c r="R666" s="39"/>
      <c r="S666" s="39"/>
      <c r="T666" s="39"/>
      <c r="U666" s="39"/>
      <c r="V666" s="39"/>
      <c r="W666" s="39"/>
      <c r="X666" s="39"/>
      <c r="Y666" s="39"/>
      <c r="Z666" s="39"/>
      <c r="AS666" s="20"/>
    </row>
    <row r="667" spans="1:45" ht="4.5" customHeight="1" x14ac:dyDescent="0.3">
      <c r="A667" s="13"/>
      <c r="B667" s="69"/>
      <c r="E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20"/>
    </row>
    <row r="668" spans="1:45" ht="13.5" customHeight="1" x14ac:dyDescent="0.3">
      <c r="A668" s="13" t="s">
        <v>368</v>
      </c>
      <c r="B668" s="69"/>
      <c r="C668" s="31"/>
      <c r="D668" s="31"/>
      <c r="E668" s="32"/>
      <c r="F668" s="33"/>
      <c r="G668" s="31"/>
      <c r="H668" s="31"/>
      <c r="I668" s="31"/>
      <c r="J668" s="215"/>
      <c r="K668" s="212"/>
      <c r="L668" s="717" t="s">
        <v>1538</v>
      </c>
      <c r="M668" s="717"/>
      <c r="N668" s="717"/>
      <c r="O668" s="717"/>
      <c r="P668" s="717"/>
      <c r="Q668" s="717"/>
      <c r="R668" s="717"/>
      <c r="S668" s="717"/>
      <c r="T668" s="717"/>
      <c r="U668" s="717"/>
      <c r="V668" s="717"/>
      <c r="W668" s="717"/>
      <c r="X668" s="717"/>
      <c r="Y668" s="717"/>
      <c r="Z668" s="717"/>
      <c r="AA668" s="717"/>
      <c r="AB668" s="717"/>
      <c r="AC668" s="717"/>
      <c r="AD668" s="717"/>
      <c r="AE668" s="717"/>
      <c r="AF668" s="717"/>
      <c r="AG668" s="717"/>
      <c r="AH668" s="717"/>
      <c r="AI668" s="717"/>
      <c r="AJ668" s="717"/>
      <c r="AK668" s="717"/>
      <c r="AL668" s="717"/>
      <c r="AM668" s="717"/>
      <c r="AN668" s="717"/>
      <c r="AO668" s="717"/>
      <c r="AP668" s="717"/>
      <c r="AQ668" s="717"/>
      <c r="AR668" s="717"/>
      <c r="AS668" s="20"/>
    </row>
    <row r="669" spans="1:45" ht="4.5" customHeight="1" x14ac:dyDescent="0.3">
      <c r="A669" s="13"/>
      <c r="B669" s="69"/>
      <c r="C669" s="31"/>
      <c r="D669" s="31"/>
      <c r="E669" s="34"/>
      <c r="F669" s="31"/>
      <c r="G669" s="31"/>
      <c r="H669" s="31"/>
      <c r="I669" s="31"/>
      <c r="J669" s="215"/>
      <c r="K669" s="212"/>
      <c r="L669" s="212"/>
      <c r="M669" s="212"/>
      <c r="N669" s="212"/>
      <c r="O669" s="212"/>
      <c r="P669" s="212"/>
      <c r="Q669" s="212"/>
      <c r="R669" s="212"/>
      <c r="S669" s="212"/>
      <c r="T669" s="212"/>
      <c r="U669" s="212"/>
      <c r="V669" s="212"/>
      <c r="W669" s="212"/>
      <c r="X669" s="212"/>
      <c r="Y669" s="212"/>
      <c r="Z669" s="212"/>
      <c r="AA669" s="212"/>
      <c r="AB669" s="212"/>
      <c r="AC669" s="212"/>
      <c r="AD669" s="212"/>
      <c r="AE669" s="212"/>
      <c r="AF669" s="212"/>
      <c r="AG669" s="212"/>
      <c r="AH669" s="212"/>
      <c r="AI669" s="212"/>
      <c r="AJ669" s="212"/>
      <c r="AK669" s="212"/>
      <c r="AL669" s="212"/>
      <c r="AM669" s="212"/>
      <c r="AN669" s="212"/>
      <c r="AO669" s="212"/>
      <c r="AP669" s="212"/>
      <c r="AQ669" s="212"/>
      <c r="AR669" s="212"/>
      <c r="AS669" s="20"/>
    </row>
    <row r="670" spans="1:45" ht="38.25" customHeight="1" x14ac:dyDescent="0.3">
      <c r="A670" s="13" t="s">
        <v>369</v>
      </c>
      <c r="B670" s="69"/>
      <c r="C670" s="31"/>
      <c r="D670" s="31"/>
      <c r="E670" s="32"/>
      <c r="F670" s="33"/>
      <c r="G670" s="31"/>
      <c r="H670" s="31"/>
      <c r="I670" s="31"/>
      <c r="J670" s="215"/>
      <c r="K670" s="212"/>
      <c r="L670" s="717" t="s">
        <v>1193</v>
      </c>
      <c r="M670" s="717"/>
      <c r="N670" s="717"/>
      <c r="O670" s="717"/>
      <c r="P670" s="717"/>
      <c r="Q670" s="717"/>
      <c r="R670" s="717"/>
      <c r="S670" s="717"/>
      <c r="T670" s="717"/>
      <c r="U670" s="717"/>
      <c r="V670" s="717"/>
      <c r="W670" s="717"/>
      <c r="X670" s="717"/>
      <c r="Y670" s="717"/>
      <c r="Z670" s="717"/>
      <c r="AA670" s="717"/>
      <c r="AB670" s="717"/>
      <c r="AC670" s="717"/>
      <c r="AD670" s="717"/>
      <c r="AE670" s="717"/>
      <c r="AF670" s="717"/>
      <c r="AG670" s="717"/>
      <c r="AH670" s="717"/>
      <c r="AI670" s="717"/>
      <c r="AJ670" s="717"/>
      <c r="AK670" s="717"/>
      <c r="AL670" s="717"/>
      <c r="AM670" s="717"/>
      <c r="AN670" s="717"/>
      <c r="AO670" s="717"/>
      <c r="AP670" s="717"/>
      <c r="AQ670" s="717"/>
      <c r="AR670" s="717"/>
      <c r="AS670" s="20"/>
    </row>
    <row r="671" spans="1:45" ht="4.5" customHeight="1" x14ac:dyDescent="0.3">
      <c r="A671" s="13"/>
      <c r="B671" s="69"/>
      <c r="C671" s="31"/>
      <c r="D671" s="31"/>
      <c r="E671" s="32"/>
      <c r="F671" s="33"/>
      <c r="G671" s="31"/>
      <c r="H671" s="31"/>
      <c r="I671" s="31"/>
      <c r="J671" s="215"/>
      <c r="K671" s="212"/>
      <c r="L671" s="212"/>
      <c r="M671" s="212"/>
      <c r="N671" s="212"/>
      <c r="O671" s="212"/>
      <c r="P671" s="212"/>
      <c r="Q671" s="212"/>
      <c r="R671" s="212"/>
      <c r="S671" s="212"/>
      <c r="T671" s="212"/>
      <c r="U671" s="212"/>
      <c r="V671" s="212"/>
      <c r="W671" s="212"/>
      <c r="X671" s="212"/>
      <c r="Y671" s="212"/>
      <c r="Z671" s="212"/>
      <c r="AA671" s="212"/>
      <c r="AB671" s="212"/>
      <c r="AC671" s="212"/>
      <c r="AD671" s="212"/>
      <c r="AE671" s="212"/>
      <c r="AF671" s="212"/>
      <c r="AG671" s="212"/>
      <c r="AH671" s="212"/>
      <c r="AI671" s="212"/>
      <c r="AJ671" s="212"/>
      <c r="AK671" s="212"/>
      <c r="AL671" s="212"/>
      <c r="AM671" s="212"/>
      <c r="AN671" s="212"/>
      <c r="AO671" s="212"/>
      <c r="AP671" s="212"/>
      <c r="AQ671" s="212"/>
      <c r="AR671" s="212"/>
      <c r="AS671" s="20"/>
    </row>
    <row r="672" spans="1:45" ht="24.75" customHeight="1" x14ac:dyDescent="0.3">
      <c r="A672" s="13" t="s">
        <v>370</v>
      </c>
      <c r="B672" s="69"/>
      <c r="C672" s="31"/>
      <c r="D672" s="31"/>
      <c r="E672" s="34"/>
      <c r="F672" s="31"/>
      <c r="G672" s="31"/>
      <c r="H672" s="31"/>
      <c r="I672" s="31"/>
      <c r="J672" s="215"/>
      <c r="K672" s="212"/>
      <c r="L672" s="717" t="s">
        <v>1539</v>
      </c>
      <c r="M672" s="717"/>
      <c r="N672" s="717"/>
      <c r="O672" s="717"/>
      <c r="P672" s="717"/>
      <c r="Q672" s="717"/>
      <c r="R672" s="717"/>
      <c r="S672" s="717"/>
      <c r="T672" s="717"/>
      <c r="U672" s="717"/>
      <c r="V672" s="717"/>
      <c r="W672" s="717"/>
      <c r="X672" s="717"/>
      <c r="Y672" s="717"/>
      <c r="Z672" s="717"/>
      <c r="AA672" s="717"/>
      <c r="AB672" s="717"/>
      <c r="AC672" s="717"/>
      <c r="AD672" s="717"/>
      <c r="AE672" s="717"/>
      <c r="AF672" s="717"/>
      <c r="AG672" s="717"/>
      <c r="AH672" s="717"/>
      <c r="AI672" s="717"/>
      <c r="AJ672" s="717"/>
      <c r="AK672" s="717"/>
      <c r="AL672" s="717"/>
      <c r="AM672" s="717"/>
      <c r="AN672" s="717"/>
      <c r="AO672" s="717"/>
      <c r="AP672" s="717"/>
      <c r="AQ672" s="717"/>
      <c r="AR672" s="717"/>
      <c r="AS672" s="20"/>
    </row>
    <row r="673" spans="1:45" ht="4.5" customHeight="1" x14ac:dyDescent="0.3">
      <c r="A673" s="13"/>
      <c r="B673" s="69"/>
      <c r="C673" s="31"/>
      <c r="D673" s="31"/>
      <c r="E673" s="34"/>
      <c r="F673" s="31"/>
      <c r="G673" s="31"/>
      <c r="H673" s="31"/>
      <c r="I673" s="31"/>
      <c r="J673" s="215"/>
      <c r="K673" s="212"/>
      <c r="L673" s="212"/>
      <c r="M673" s="212"/>
      <c r="N673" s="212"/>
      <c r="O673" s="212"/>
      <c r="P673" s="212"/>
      <c r="Q673" s="212"/>
      <c r="R673" s="212"/>
      <c r="S673" s="212"/>
      <c r="T673" s="212"/>
      <c r="U673" s="212"/>
      <c r="V673" s="212"/>
      <c r="W673" s="212"/>
      <c r="X673" s="212"/>
      <c r="Y673" s="212"/>
      <c r="Z673" s="212"/>
      <c r="AA673" s="212"/>
      <c r="AB673" s="212"/>
      <c r="AC673" s="212"/>
      <c r="AD673" s="212"/>
      <c r="AE673" s="212"/>
      <c r="AF673" s="212"/>
      <c r="AG673" s="212"/>
      <c r="AH673" s="212"/>
      <c r="AI673" s="212"/>
      <c r="AJ673" s="212"/>
      <c r="AK673" s="212"/>
      <c r="AL673" s="212"/>
      <c r="AM673" s="212"/>
      <c r="AN673" s="212"/>
      <c r="AO673" s="212"/>
      <c r="AP673" s="212"/>
      <c r="AQ673" s="212"/>
      <c r="AR673" s="212"/>
      <c r="AS673" s="20"/>
    </row>
    <row r="674" spans="1:45" ht="13.5" customHeight="1" x14ac:dyDescent="0.3">
      <c r="A674" s="13" t="s">
        <v>371</v>
      </c>
      <c r="B674" s="69"/>
      <c r="C674" s="31"/>
      <c r="D674" s="31"/>
      <c r="E674" s="32"/>
      <c r="F674" s="33"/>
      <c r="G674" s="31"/>
      <c r="H674" s="31"/>
      <c r="I674" s="31"/>
      <c r="J674" s="215"/>
      <c r="K674" s="212"/>
      <c r="L674" s="717" t="s">
        <v>1194</v>
      </c>
      <c r="M674" s="717"/>
      <c r="N674" s="717"/>
      <c r="O674" s="717"/>
      <c r="P674" s="717"/>
      <c r="Q674" s="717"/>
      <c r="R674" s="717"/>
      <c r="S674" s="717"/>
      <c r="T674" s="717"/>
      <c r="U674" s="717"/>
      <c r="V674" s="717"/>
      <c r="W674" s="717"/>
      <c r="X674" s="717"/>
      <c r="Y674" s="717"/>
      <c r="Z674" s="717"/>
      <c r="AA674" s="717"/>
      <c r="AB674" s="717"/>
      <c r="AC674" s="717"/>
      <c r="AD674" s="717"/>
      <c r="AE674" s="717"/>
      <c r="AF674" s="717"/>
      <c r="AG674" s="717"/>
      <c r="AH674" s="717"/>
      <c r="AI674" s="717"/>
      <c r="AJ674" s="717"/>
      <c r="AK674" s="717"/>
      <c r="AL674" s="717"/>
      <c r="AM674" s="717"/>
      <c r="AN674" s="717"/>
      <c r="AO674" s="717"/>
      <c r="AP674" s="717"/>
      <c r="AQ674" s="717"/>
      <c r="AR674" s="717"/>
      <c r="AS674" s="20"/>
    </row>
    <row r="675" spans="1:45" ht="4.5" customHeight="1" x14ac:dyDescent="0.3">
      <c r="B675" s="69"/>
      <c r="E675" s="35"/>
      <c r="J675" s="214"/>
      <c r="K675" s="212"/>
      <c r="L675" s="212"/>
      <c r="M675" s="212"/>
      <c r="N675" s="212"/>
      <c r="O675" s="212"/>
      <c r="P675" s="212"/>
      <c r="Q675" s="212"/>
      <c r="R675" s="212"/>
      <c r="S675" s="212"/>
      <c r="T675" s="212"/>
      <c r="U675" s="212"/>
      <c r="V675" s="212"/>
      <c r="W675" s="212"/>
      <c r="X675" s="212"/>
      <c r="Y675" s="212"/>
      <c r="Z675" s="212"/>
      <c r="AA675" s="212"/>
      <c r="AB675" s="212"/>
      <c r="AC675" s="212"/>
      <c r="AD675" s="212"/>
      <c r="AE675" s="212"/>
      <c r="AF675" s="212"/>
      <c r="AG675" s="212"/>
      <c r="AH675" s="212"/>
      <c r="AI675" s="212"/>
      <c r="AJ675" s="212"/>
      <c r="AK675" s="212"/>
      <c r="AL675" s="212"/>
      <c r="AM675" s="212"/>
      <c r="AN675" s="212"/>
      <c r="AO675" s="212"/>
      <c r="AP675" s="212"/>
      <c r="AQ675" s="212"/>
      <c r="AR675" s="212"/>
      <c r="AS675" s="20"/>
    </row>
    <row r="676" spans="1:45" ht="24.75" customHeight="1" x14ac:dyDescent="0.3">
      <c r="A676" s="13" t="s">
        <v>1368</v>
      </c>
      <c r="B676" s="69"/>
      <c r="E676" s="11"/>
      <c r="F676" s="3"/>
      <c r="J676" s="214"/>
      <c r="K676" s="212"/>
      <c r="L676" s="717" t="s">
        <v>1195</v>
      </c>
      <c r="M676" s="717"/>
      <c r="N676" s="717"/>
      <c r="O676" s="717"/>
      <c r="P676" s="717"/>
      <c r="Q676" s="717"/>
      <c r="R676" s="717"/>
      <c r="S676" s="717"/>
      <c r="T676" s="717"/>
      <c r="U676" s="717"/>
      <c r="V676" s="717"/>
      <c r="W676" s="717"/>
      <c r="X676" s="717"/>
      <c r="Y676" s="717"/>
      <c r="Z676" s="717"/>
      <c r="AA676" s="717"/>
      <c r="AB676" s="717"/>
      <c r="AC676" s="717"/>
      <c r="AD676" s="717"/>
      <c r="AE676" s="717"/>
      <c r="AF676" s="717"/>
      <c r="AG676" s="717"/>
      <c r="AH676" s="717"/>
      <c r="AI676" s="717"/>
      <c r="AJ676" s="717"/>
      <c r="AK676" s="717"/>
      <c r="AL676" s="717"/>
      <c r="AM676" s="717"/>
      <c r="AN676" s="717"/>
      <c r="AO676" s="717"/>
      <c r="AP676" s="717"/>
      <c r="AQ676" s="717"/>
      <c r="AR676" s="717"/>
      <c r="AS676" s="20"/>
    </row>
    <row r="677" spans="1:45" ht="4.5" customHeight="1" x14ac:dyDescent="0.3">
      <c r="E677" s="11"/>
      <c r="J677" s="214"/>
      <c r="K677" s="216"/>
      <c r="L677" s="216"/>
      <c r="M677" s="216"/>
      <c r="N677" s="216"/>
      <c r="O677" s="216"/>
      <c r="P677" s="216"/>
      <c r="Q677" s="216"/>
      <c r="R677" s="216"/>
      <c r="S677" s="216"/>
      <c r="T677" s="216"/>
      <c r="U677" s="216"/>
      <c r="V677" s="216"/>
      <c r="W677" s="216"/>
      <c r="X677" s="216"/>
      <c r="Y677" s="216"/>
      <c r="Z677" s="216"/>
      <c r="AA677" s="216"/>
      <c r="AB677" s="216"/>
      <c r="AC677" s="216"/>
      <c r="AD677" s="216"/>
      <c r="AE677" s="216"/>
      <c r="AF677" s="216"/>
      <c r="AG677" s="216"/>
      <c r="AH677" s="216"/>
      <c r="AI677" s="216"/>
      <c r="AJ677" s="216"/>
      <c r="AK677" s="216"/>
      <c r="AL677" s="216"/>
      <c r="AM677" s="216"/>
      <c r="AN677" s="216"/>
      <c r="AO677" s="216"/>
      <c r="AP677" s="216"/>
      <c r="AQ677" s="216"/>
      <c r="AR677" s="216"/>
      <c r="AS677" s="20"/>
    </row>
    <row r="678" spans="1:45" x14ac:dyDescent="0.3">
      <c r="E678" s="11"/>
      <c r="F678" s="13" t="s">
        <v>700</v>
      </c>
      <c r="J678" s="706" t="str">
        <f>IF(calculations!M41,"describe corrective action proposed to correct any Red Flag or Yellow Flag ranking",IF(calculations!N41,"describe corrective action proposed to correct any Red Flag or Yellow Flag ranking","we changed the criteria"))</f>
        <v>we changed the criteria</v>
      </c>
      <c r="K678" s="707"/>
      <c r="L678" s="707"/>
      <c r="M678" s="707"/>
      <c r="N678" s="707"/>
      <c r="O678" s="707"/>
      <c r="P678" s="707"/>
      <c r="Q678" s="707"/>
      <c r="R678" s="707"/>
      <c r="S678" s="707"/>
      <c r="T678" s="707"/>
      <c r="U678" s="707"/>
      <c r="V678" s="707"/>
      <c r="W678" s="707"/>
      <c r="X678" s="707"/>
      <c r="Y678" s="707"/>
      <c r="Z678" s="707"/>
      <c r="AA678" s="707"/>
      <c r="AB678" s="707"/>
      <c r="AC678" s="707"/>
      <c r="AD678" s="707"/>
      <c r="AE678" s="707"/>
      <c r="AF678" s="707"/>
      <c r="AG678" s="707"/>
      <c r="AH678" s="707"/>
      <c r="AI678" s="707"/>
      <c r="AJ678" s="707"/>
      <c r="AK678" s="707"/>
      <c r="AL678" s="707"/>
      <c r="AM678" s="707"/>
      <c r="AN678" s="707"/>
      <c r="AO678" s="707"/>
      <c r="AP678" s="707"/>
      <c r="AQ678" s="707"/>
      <c r="AR678" s="708"/>
      <c r="AS678" s="20"/>
    </row>
    <row r="679" spans="1:45" ht="4.5" customHeight="1" x14ac:dyDescent="0.3">
      <c r="E679" s="11"/>
      <c r="G679" s="38"/>
      <c r="J679" s="214"/>
      <c r="K679" s="214"/>
      <c r="L679" s="214"/>
      <c r="M679" s="214"/>
      <c r="N679" s="214"/>
      <c r="O679" s="214"/>
      <c r="P679" s="214"/>
      <c r="Q679" s="214"/>
      <c r="R679" s="214"/>
      <c r="S679" s="214"/>
      <c r="T679" s="214"/>
      <c r="U679" s="214"/>
      <c r="V679" s="214"/>
      <c r="W679" s="214"/>
      <c r="X679" s="214"/>
      <c r="Y679" s="214"/>
      <c r="Z679" s="214"/>
      <c r="AA679" s="214"/>
      <c r="AB679" s="214"/>
      <c r="AC679" s="214"/>
      <c r="AD679" s="214"/>
      <c r="AE679" s="214"/>
      <c r="AF679" s="214"/>
      <c r="AG679" s="214"/>
      <c r="AH679" s="214"/>
      <c r="AI679" s="214"/>
      <c r="AJ679" s="214"/>
      <c r="AK679" s="214"/>
      <c r="AL679" s="214"/>
      <c r="AM679" s="214"/>
      <c r="AN679" s="214"/>
      <c r="AO679" s="214"/>
      <c r="AP679" s="214"/>
      <c r="AQ679" s="214"/>
      <c r="AR679" s="214"/>
      <c r="AS679" s="20"/>
    </row>
    <row r="680" spans="1:45" ht="27" customHeight="1" x14ac:dyDescent="0.3">
      <c r="E680" s="11"/>
      <c r="F680" s="55" t="str">
        <f>IF(calculations!M41,"OFE",IF(calculations!N41,"REC",IF(J680&gt;"","REC","")))</f>
        <v/>
      </c>
      <c r="G680" s="38"/>
      <c r="J680" s="724" t="str">
        <f>IF(calculations!M41,CONCATENATE("OFE:  ",Rec!E66),IF(calculations!N41,Rec!E67,""))</f>
        <v/>
      </c>
      <c r="K680" s="725"/>
      <c r="L680" s="725"/>
      <c r="M680" s="725"/>
      <c r="N680" s="725"/>
      <c r="O680" s="725"/>
      <c r="P680" s="725"/>
      <c r="Q680" s="725"/>
      <c r="R680" s="725"/>
      <c r="S680" s="725"/>
      <c r="T680" s="725"/>
      <c r="U680" s="725"/>
      <c r="V680" s="725"/>
      <c r="W680" s="725"/>
      <c r="X680" s="725"/>
      <c r="Y680" s="725"/>
      <c r="Z680" s="725"/>
      <c r="AA680" s="725"/>
      <c r="AB680" s="725"/>
      <c r="AC680" s="725"/>
      <c r="AD680" s="725"/>
      <c r="AE680" s="725"/>
      <c r="AF680" s="725"/>
      <c r="AG680" s="725"/>
      <c r="AH680" s="725"/>
      <c r="AI680" s="725"/>
      <c r="AJ680" s="725"/>
      <c r="AK680" s="725"/>
      <c r="AL680" s="725"/>
      <c r="AM680" s="725"/>
      <c r="AN680" s="725"/>
      <c r="AO680" s="725"/>
      <c r="AP680" s="725"/>
      <c r="AQ680" s="725"/>
      <c r="AR680" s="726"/>
      <c r="AS680" s="20"/>
    </row>
    <row r="681" spans="1:45" ht="13.5" customHeight="1" x14ac:dyDescent="0.3">
      <c r="F681" s="37"/>
      <c r="AS681" s="20"/>
    </row>
    <row r="682" spans="1:45" ht="14.15" x14ac:dyDescent="0.35">
      <c r="A682" s="735">
        <v>5.3</v>
      </c>
      <c r="B682" s="735"/>
      <c r="D682" s="30" t="s">
        <v>612</v>
      </c>
      <c r="E682" s="11"/>
      <c r="AS682" s="20"/>
    </row>
    <row r="683" spans="1:45" ht="4.5" customHeight="1" x14ac:dyDescent="0.3">
      <c r="A683" s="13"/>
      <c r="B683" s="69"/>
      <c r="E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20"/>
    </row>
    <row r="684" spans="1:45" x14ac:dyDescent="0.3">
      <c r="A684" s="13" t="s">
        <v>372</v>
      </c>
      <c r="B684" s="69"/>
      <c r="C684" s="31"/>
      <c r="D684" s="31"/>
      <c r="E684" s="32"/>
      <c r="F684" s="33"/>
      <c r="G684" s="31"/>
      <c r="H684" s="31"/>
      <c r="I684" s="31"/>
      <c r="J684" s="215"/>
      <c r="K684" s="212"/>
      <c r="L684" s="717" t="s">
        <v>1196</v>
      </c>
      <c r="M684" s="717"/>
      <c r="N684" s="717"/>
      <c r="O684" s="717"/>
      <c r="P684" s="717"/>
      <c r="Q684" s="717"/>
      <c r="R684" s="717"/>
      <c r="S684" s="717"/>
      <c r="T684" s="717"/>
      <c r="U684" s="717"/>
      <c r="V684" s="717"/>
      <c r="W684" s="717"/>
      <c r="X684" s="717"/>
      <c r="Y684" s="717"/>
      <c r="Z684" s="717"/>
      <c r="AA684" s="717"/>
      <c r="AB684" s="717"/>
      <c r="AC684" s="717"/>
      <c r="AD684" s="717"/>
      <c r="AE684" s="717"/>
      <c r="AF684" s="717"/>
      <c r="AG684" s="717"/>
      <c r="AH684" s="717"/>
      <c r="AI684" s="717"/>
      <c r="AJ684" s="717"/>
      <c r="AK684" s="717"/>
      <c r="AL684" s="717"/>
      <c r="AM684" s="717"/>
      <c r="AN684" s="717"/>
      <c r="AO684" s="717"/>
      <c r="AP684" s="717"/>
      <c r="AQ684" s="717"/>
      <c r="AR684" s="717"/>
      <c r="AS684" s="20"/>
    </row>
    <row r="685" spans="1:45" ht="4.5" customHeight="1" x14ac:dyDescent="0.3">
      <c r="A685" s="13"/>
      <c r="B685" s="69"/>
      <c r="C685" s="31"/>
      <c r="D685" s="31"/>
      <c r="E685" s="34"/>
      <c r="F685" s="31"/>
      <c r="G685" s="31"/>
      <c r="H685" s="31"/>
      <c r="I685" s="31"/>
      <c r="J685" s="215"/>
      <c r="K685" s="212"/>
      <c r="L685" s="212"/>
      <c r="M685" s="212"/>
      <c r="N685" s="212"/>
      <c r="O685" s="212"/>
      <c r="P685" s="212"/>
      <c r="Q685" s="212"/>
      <c r="R685" s="212"/>
      <c r="S685" s="212"/>
      <c r="T685" s="212"/>
      <c r="U685" s="212"/>
      <c r="V685" s="212"/>
      <c r="W685" s="212"/>
      <c r="X685" s="212"/>
      <c r="Y685" s="212"/>
      <c r="Z685" s="212"/>
      <c r="AA685" s="212"/>
      <c r="AB685" s="212"/>
      <c r="AC685" s="212"/>
      <c r="AD685" s="212"/>
      <c r="AE685" s="212"/>
      <c r="AF685" s="212"/>
      <c r="AG685" s="212"/>
      <c r="AH685" s="212"/>
      <c r="AI685" s="212"/>
      <c r="AJ685" s="212"/>
      <c r="AK685" s="212"/>
      <c r="AL685" s="212"/>
      <c r="AM685" s="212"/>
      <c r="AN685" s="212"/>
      <c r="AO685" s="212"/>
      <c r="AP685" s="212"/>
      <c r="AQ685" s="212"/>
      <c r="AR685" s="212"/>
      <c r="AS685" s="20"/>
    </row>
    <row r="686" spans="1:45" ht="34.5" customHeight="1" x14ac:dyDescent="0.3">
      <c r="A686" s="13" t="s">
        <v>373</v>
      </c>
      <c r="B686" s="69"/>
      <c r="C686" s="31"/>
      <c r="D686" s="31"/>
      <c r="E686" s="32"/>
      <c r="F686" s="33"/>
      <c r="G686" s="31"/>
      <c r="H686" s="31"/>
      <c r="I686" s="31"/>
      <c r="J686" s="215"/>
      <c r="K686" s="212"/>
      <c r="L686" s="717" t="s">
        <v>1992</v>
      </c>
      <c r="M686" s="717"/>
      <c r="N686" s="717"/>
      <c r="O686" s="717"/>
      <c r="P686" s="717"/>
      <c r="Q686" s="717"/>
      <c r="R686" s="717"/>
      <c r="S686" s="717"/>
      <c r="T686" s="717"/>
      <c r="U686" s="717"/>
      <c r="V686" s="717"/>
      <c r="W686" s="717"/>
      <c r="X686" s="717"/>
      <c r="Y686" s="717"/>
      <c r="Z686" s="717"/>
      <c r="AA686" s="717"/>
      <c r="AB686" s="717"/>
      <c r="AC686" s="717"/>
      <c r="AD686" s="717"/>
      <c r="AE686" s="717"/>
      <c r="AF686" s="717"/>
      <c r="AG686" s="717"/>
      <c r="AH686" s="717"/>
      <c r="AI686" s="717"/>
      <c r="AJ686" s="717"/>
      <c r="AK686" s="717"/>
      <c r="AL686" s="717"/>
      <c r="AM686" s="717"/>
      <c r="AN686" s="717"/>
      <c r="AO686" s="717"/>
      <c r="AP686" s="717"/>
      <c r="AQ686" s="717"/>
      <c r="AR686" s="717"/>
      <c r="AS686" s="20"/>
    </row>
    <row r="687" spans="1:45" ht="4.5" customHeight="1" x14ac:dyDescent="0.3">
      <c r="A687" s="13"/>
      <c r="B687" s="69"/>
      <c r="C687" s="31"/>
      <c r="D687" s="31"/>
      <c r="E687" s="32"/>
      <c r="F687" s="33"/>
      <c r="G687" s="31"/>
      <c r="H687" s="31"/>
      <c r="I687" s="31"/>
      <c r="J687" s="215"/>
      <c r="K687" s="212"/>
      <c r="L687" s="212"/>
      <c r="M687" s="212"/>
      <c r="N687" s="212"/>
      <c r="O687" s="212"/>
      <c r="P687" s="212"/>
      <c r="Q687" s="212"/>
      <c r="R687" s="212"/>
      <c r="S687" s="212"/>
      <c r="T687" s="212"/>
      <c r="U687" s="212"/>
      <c r="V687" s="212"/>
      <c r="W687" s="212"/>
      <c r="X687" s="212"/>
      <c r="Y687" s="212"/>
      <c r="Z687" s="212"/>
      <c r="AA687" s="212"/>
      <c r="AB687" s="212"/>
      <c r="AC687" s="212"/>
      <c r="AD687" s="212"/>
      <c r="AE687" s="212"/>
      <c r="AF687" s="212"/>
      <c r="AG687" s="212"/>
      <c r="AH687" s="212"/>
      <c r="AI687" s="212"/>
      <c r="AJ687" s="212"/>
      <c r="AK687" s="212"/>
      <c r="AL687" s="212"/>
      <c r="AM687" s="212"/>
      <c r="AN687" s="212"/>
      <c r="AO687" s="212"/>
      <c r="AP687" s="212"/>
      <c r="AQ687" s="212"/>
      <c r="AR687" s="212"/>
      <c r="AS687" s="20"/>
    </row>
    <row r="688" spans="1:45" ht="61.5" customHeight="1" x14ac:dyDescent="0.3">
      <c r="A688" s="13" t="s">
        <v>374</v>
      </c>
      <c r="B688" s="69"/>
      <c r="C688" s="31"/>
      <c r="D688" s="31"/>
      <c r="E688" s="34"/>
      <c r="F688" s="31"/>
      <c r="G688" s="31"/>
      <c r="H688" s="31"/>
      <c r="I688" s="31"/>
      <c r="J688" s="215"/>
      <c r="K688" s="212"/>
      <c r="L688" s="717" t="s">
        <v>1197</v>
      </c>
      <c r="M688" s="717"/>
      <c r="N688" s="717"/>
      <c r="O688" s="717"/>
      <c r="P688" s="717"/>
      <c r="Q688" s="717"/>
      <c r="R688" s="717"/>
      <c r="S688" s="717"/>
      <c r="T688" s="717"/>
      <c r="U688" s="717"/>
      <c r="V688" s="717"/>
      <c r="W688" s="717"/>
      <c r="X688" s="717"/>
      <c r="Y688" s="717"/>
      <c r="Z688" s="717"/>
      <c r="AA688" s="717"/>
      <c r="AB688" s="717"/>
      <c r="AC688" s="717"/>
      <c r="AD688" s="717"/>
      <c r="AE688" s="717"/>
      <c r="AF688" s="717"/>
      <c r="AG688" s="717"/>
      <c r="AH688" s="717"/>
      <c r="AI688" s="717"/>
      <c r="AJ688" s="717"/>
      <c r="AK688" s="717"/>
      <c r="AL688" s="717"/>
      <c r="AM688" s="717"/>
      <c r="AN688" s="717"/>
      <c r="AO688" s="717"/>
      <c r="AP688" s="717"/>
      <c r="AQ688" s="717"/>
      <c r="AR688" s="717"/>
      <c r="AS688" s="20"/>
    </row>
    <row r="689" spans="1:45" ht="4.5" customHeight="1" x14ac:dyDescent="0.3">
      <c r="A689" s="13"/>
      <c r="B689" s="69"/>
      <c r="C689" s="31"/>
      <c r="D689" s="31"/>
      <c r="E689" s="34"/>
      <c r="F689" s="31"/>
      <c r="G689" s="31"/>
      <c r="H689" s="31"/>
      <c r="I689" s="31"/>
      <c r="J689" s="215"/>
      <c r="K689" s="212"/>
      <c r="L689" s="212"/>
      <c r="M689" s="212"/>
      <c r="N689" s="212"/>
      <c r="O689" s="212"/>
      <c r="P689" s="212"/>
      <c r="Q689" s="212"/>
      <c r="R689" s="212"/>
      <c r="S689" s="212"/>
      <c r="T689" s="212"/>
      <c r="U689" s="212"/>
      <c r="V689" s="212"/>
      <c r="W689" s="212"/>
      <c r="X689" s="212"/>
      <c r="Y689" s="212"/>
      <c r="Z689" s="212"/>
      <c r="AA689" s="212"/>
      <c r="AB689" s="212"/>
      <c r="AC689" s="212"/>
      <c r="AD689" s="212"/>
      <c r="AE689" s="212"/>
      <c r="AF689" s="212"/>
      <c r="AG689" s="212"/>
      <c r="AH689" s="212"/>
      <c r="AI689" s="212"/>
      <c r="AJ689" s="212"/>
      <c r="AK689" s="212"/>
      <c r="AL689" s="212"/>
      <c r="AM689" s="212"/>
      <c r="AN689" s="212"/>
      <c r="AO689" s="212"/>
      <c r="AP689" s="212"/>
      <c r="AQ689" s="212"/>
      <c r="AR689" s="212"/>
      <c r="AS689" s="20"/>
    </row>
    <row r="690" spans="1:45" ht="24.75" customHeight="1" x14ac:dyDescent="0.3">
      <c r="A690" s="13" t="s">
        <v>375</v>
      </c>
      <c r="B690" s="69"/>
      <c r="C690" s="31"/>
      <c r="D690" s="31"/>
      <c r="E690" s="32"/>
      <c r="F690" s="33"/>
      <c r="G690" s="31"/>
      <c r="H690" s="31"/>
      <c r="I690" s="31"/>
      <c r="J690" s="215"/>
      <c r="K690" s="212"/>
      <c r="L690" s="717" t="s">
        <v>1198</v>
      </c>
      <c r="M690" s="717"/>
      <c r="N690" s="717"/>
      <c r="O690" s="717"/>
      <c r="P690" s="717"/>
      <c r="Q690" s="717"/>
      <c r="R690" s="717"/>
      <c r="S690" s="717"/>
      <c r="T690" s="717"/>
      <c r="U690" s="717"/>
      <c r="V690" s="717"/>
      <c r="W690" s="717"/>
      <c r="X690" s="717"/>
      <c r="Y690" s="717"/>
      <c r="Z690" s="717"/>
      <c r="AA690" s="717"/>
      <c r="AB690" s="717"/>
      <c r="AC690" s="717"/>
      <c r="AD690" s="717"/>
      <c r="AE690" s="717"/>
      <c r="AF690" s="717"/>
      <c r="AG690" s="717"/>
      <c r="AH690" s="717"/>
      <c r="AI690" s="717"/>
      <c r="AJ690" s="717"/>
      <c r="AK690" s="717"/>
      <c r="AL690" s="717"/>
      <c r="AM690" s="717"/>
      <c r="AN690" s="717"/>
      <c r="AO690" s="717"/>
      <c r="AP690" s="717"/>
      <c r="AQ690" s="717"/>
      <c r="AR690" s="717"/>
      <c r="AS690" s="20"/>
    </row>
    <row r="691" spans="1:45" ht="4.5" customHeight="1" x14ac:dyDescent="0.3">
      <c r="A691" s="13"/>
      <c r="B691" s="69"/>
      <c r="E691" s="35"/>
      <c r="J691" s="214"/>
      <c r="K691" s="212"/>
      <c r="L691" s="212"/>
      <c r="M691" s="212"/>
      <c r="N691" s="212"/>
      <c r="O691" s="212"/>
      <c r="P691" s="212"/>
      <c r="Q691" s="212"/>
      <c r="R691" s="212"/>
      <c r="S691" s="212"/>
      <c r="T691" s="212"/>
      <c r="U691" s="212"/>
      <c r="V691" s="212"/>
      <c r="W691" s="212"/>
      <c r="X691" s="212"/>
      <c r="Y691" s="212"/>
      <c r="Z691" s="212"/>
      <c r="AA691" s="212"/>
      <c r="AB691" s="212"/>
      <c r="AC691" s="212"/>
      <c r="AD691" s="212"/>
      <c r="AE691" s="212"/>
      <c r="AF691" s="212"/>
      <c r="AG691" s="212"/>
      <c r="AH691" s="212"/>
      <c r="AI691" s="212"/>
      <c r="AJ691" s="212"/>
      <c r="AK691" s="212"/>
      <c r="AL691" s="212"/>
      <c r="AM691" s="212"/>
      <c r="AN691" s="212"/>
      <c r="AO691" s="212"/>
      <c r="AP691" s="212"/>
      <c r="AQ691" s="212"/>
      <c r="AR691" s="212"/>
      <c r="AS691" s="20"/>
    </row>
    <row r="692" spans="1:45" ht="15.75" customHeight="1" x14ac:dyDescent="0.3">
      <c r="A692" s="13" t="s">
        <v>376</v>
      </c>
      <c r="B692" s="69"/>
      <c r="E692" s="11"/>
      <c r="F692" s="3"/>
      <c r="J692" s="214"/>
      <c r="K692" s="212"/>
      <c r="L692" s="717" t="s">
        <v>1199</v>
      </c>
      <c r="M692" s="717"/>
      <c r="N692" s="717"/>
      <c r="O692" s="717"/>
      <c r="P692" s="717"/>
      <c r="Q692" s="717"/>
      <c r="R692" s="717"/>
      <c r="S692" s="717"/>
      <c r="T692" s="717"/>
      <c r="U692" s="717"/>
      <c r="V692" s="717"/>
      <c r="W692" s="717"/>
      <c r="X692" s="717"/>
      <c r="Y692" s="717"/>
      <c r="Z692" s="717"/>
      <c r="AA692" s="717"/>
      <c r="AB692" s="717"/>
      <c r="AC692" s="717"/>
      <c r="AD692" s="717"/>
      <c r="AE692" s="717"/>
      <c r="AF692" s="717"/>
      <c r="AG692" s="717"/>
      <c r="AH692" s="717"/>
      <c r="AI692" s="717"/>
      <c r="AJ692" s="717"/>
      <c r="AK692" s="717"/>
      <c r="AL692" s="717"/>
      <c r="AM692" s="717"/>
      <c r="AN692" s="717"/>
      <c r="AO692" s="717"/>
      <c r="AP692" s="717"/>
      <c r="AQ692" s="717"/>
      <c r="AR692" s="717"/>
      <c r="AS692" s="20"/>
    </row>
    <row r="693" spans="1:45" ht="4.5" customHeight="1" x14ac:dyDescent="0.3">
      <c r="E693" s="11"/>
      <c r="J693" s="214"/>
      <c r="K693" s="216"/>
      <c r="L693" s="216"/>
      <c r="M693" s="216"/>
      <c r="N693" s="216"/>
      <c r="O693" s="216"/>
      <c r="P693" s="216"/>
      <c r="Q693" s="216"/>
      <c r="R693" s="216"/>
      <c r="S693" s="216"/>
      <c r="T693" s="216"/>
      <c r="U693" s="216"/>
      <c r="V693" s="216"/>
      <c r="W693" s="216"/>
      <c r="X693" s="216"/>
      <c r="Y693" s="216"/>
      <c r="Z693" s="216"/>
      <c r="AA693" s="216"/>
      <c r="AB693" s="216"/>
      <c r="AC693" s="216"/>
      <c r="AD693" s="216"/>
      <c r="AE693" s="216"/>
      <c r="AF693" s="216"/>
      <c r="AG693" s="216"/>
      <c r="AH693" s="216"/>
      <c r="AI693" s="216"/>
      <c r="AJ693" s="216"/>
      <c r="AK693" s="216"/>
      <c r="AL693" s="216"/>
      <c r="AM693" s="216"/>
      <c r="AN693" s="216"/>
      <c r="AO693" s="216"/>
      <c r="AP693" s="216"/>
      <c r="AQ693" s="216"/>
      <c r="AR693" s="216"/>
      <c r="AS693" s="20"/>
    </row>
    <row r="694" spans="1:45" x14ac:dyDescent="0.3">
      <c r="E694" s="11"/>
      <c r="F694" s="13" t="s">
        <v>700</v>
      </c>
      <c r="J694" s="706" t="str">
        <f>IF(calculations!M42,"describe corrective action proposed to correct any Red Flag or Yellow Flag ranking",IF(calculations!N42,"describe corrective action proposed to correct any Red Flag or Yellow Flag ranking","new category"))</f>
        <v>new category</v>
      </c>
      <c r="K694" s="707"/>
      <c r="L694" s="707"/>
      <c r="M694" s="707"/>
      <c r="N694" s="707"/>
      <c r="O694" s="707"/>
      <c r="P694" s="707"/>
      <c r="Q694" s="707"/>
      <c r="R694" s="707"/>
      <c r="S694" s="707"/>
      <c r="T694" s="707"/>
      <c r="U694" s="707"/>
      <c r="V694" s="707"/>
      <c r="W694" s="707"/>
      <c r="X694" s="707"/>
      <c r="Y694" s="707"/>
      <c r="Z694" s="707"/>
      <c r="AA694" s="707"/>
      <c r="AB694" s="707"/>
      <c r="AC694" s="707"/>
      <c r="AD694" s="707"/>
      <c r="AE694" s="707"/>
      <c r="AF694" s="707"/>
      <c r="AG694" s="707"/>
      <c r="AH694" s="707"/>
      <c r="AI694" s="707"/>
      <c r="AJ694" s="707"/>
      <c r="AK694" s="707"/>
      <c r="AL694" s="707"/>
      <c r="AM694" s="707"/>
      <c r="AN694" s="707"/>
      <c r="AO694" s="707"/>
      <c r="AP694" s="707"/>
      <c r="AQ694" s="707"/>
      <c r="AR694" s="708"/>
      <c r="AS694" s="20"/>
    </row>
    <row r="695" spans="1:45" ht="4.5" customHeight="1" x14ac:dyDescent="0.3">
      <c r="E695" s="11"/>
      <c r="G695" s="38"/>
      <c r="J695" s="214"/>
      <c r="K695" s="214"/>
      <c r="L695" s="214"/>
      <c r="M695" s="214"/>
      <c r="N695" s="214"/>
      <c r="O695" s="214"/>
      <c r="P695" s="214"/>
      <c r="Q695" s="214"/>
      <c r="R695" s="214"/>
      <c r="S695" s="214"/>
      <c r="T695" s="214"/>
      <c r="U695" s="214"/>
      <c r="V695" s="214"/>
      <c r="W695" s="214"/>
      <c r="X695" s="214"/>
      <c r="Y695" s="214"/>
      <c r="Z695" s="214"/>
      <c r="AA695" s="214"/>
      <c r="AB695" s="214"/>
      <c r="AC695" s="214"/>
      <c r="AD695" s="214"/>
      <c r="AE695" s="214"/>
      <c r="AF695" s="214"/>
      <c r="AG695" s="214"/>
      <c r="AH695" s="214"/>
      <c r="AI695" s="214"/>
      <c r="AJ695" s="214"/>
      <c r="AK695" s="214"/>
      <c r="AL695" s="214"/>
      <c r="AM695" s="214"/>
      <c r="AN695" s="214"/>
      <c r="AO695" s="214"/>
      <c r="AP695" s="214"/>
      <c r="AQ695" s="214"/>
      <c r="AR695" s="214"/>
      <c r="AS695" s="20"/>
    </row>
    <row r="696" spans="1:45" ht="51" customHeight="1" x14ac:dyDescent="0.3">
      <c r="E696" s="11"/>
      <c r="F696" s="55" t="str">
        <f>IF(J696&gt;"","REC",IF(calculations!M42,"REC",IF(calculations!N42,"REC","")))</f>
        <v/>
      </c>
      <c r="G696" s="38"/>
      <c r="J696" s="724" t="str">
        <f>IF(calculations!M42=TRUE,Rec!E68,IF(calculations!N42=TRUE,Rec!E69,""))</f>
        <v/>
      </c>
      <c r="K696" s="725"/>
      <c r="L696" s="725"/>
      <c r="M696" s="725"/>
      <c r="N696" s="725"/>
      <c r="O696" s="725"/>
      <c r="P696" s="725"/>
      <c r="Q696" s="725"/>
      <c r="R696" s="725"/>
      <c r="S696" s="725"/>
      <c r="T696" s="725"/>
      <c r="U696" s="725"/>
      <c r="V696" s="725"/>
      <c r="W696" s="725"/>
      <c r="X696" s="725"/>
      <c r="Y696" s="725"/>
      <c r="Z696" s="725"/>
      <c r="AA696" s="725"/>
      <c r="AB696" s="725"/>
      <c r="AC696" s="725"/>
      <c r="AD696" s="725"/>
      <c r="AE696" s="725"/>
      <c r="AF696" s="725"/>
      <c r="AG696" s="725"/>
      <c r="AH696" s="725"/>
      <c r="AI696" s="725"/>
      <c r="AJ696" s="725"/>
      <c r="AK696" s="725"/>
      <c r="AL696" s="725"/>
      <c r="AM696" s="725"/>
      <c r="AN696" s="725"/>
      <c r="AO696" s="725"/>
      <c r="AP696" s="725"/>
      <c r="AQ696" s="725"/>
      <c r="AR696" s="726"/>
      <c r="AS696" s="20"/>
    </row>
    <row r="697" spans="1:45" ht="13.5" customHeight="1" x14ac:dyDescent="0.3">
      <c r="E697" s="11"/>
      <c r="F697" s="37"/>
      <c r="AS697" s="20"/>
    </row>
    <row r="698" spans="1:45" ht="14.15" x14ac:dyDescent="0.35">
      <c r="A698" s="735">
        <v>5.4</v>
      </c>
      <c r="B698" s="735"/>
      <c r="D698" s="30" t="s">
        <v>731</v>
      </c>
      <c r="E698" s="11"/>
      <c r="AS698" s="20"/>
    </row>
    <row r="699" spans="1:45" ht="4.5" customHeight="1" x14ac:dyDescent="0.3">
      <c r="A699" s="13"/>
      <c r="B699" s="69"/>
      <c r="E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20"/>
    </row>
    <row r="700" spans="1:45" ht="24.75" customHeight="1" x14ac:dyDescent="0.3">
      <c r="A700" s="13" t="s">
        <v>377</v>
      </c>
      <c r="B700" s="69"/>
      <c r="C700" s="31"/>
      <c r="D700" s="31"/>
      <c r="E700" s="32"/>
      <c r="F700" s="33"/>
      <c r="G700" s="31"/>
      <c r="H700" s="31"/>
      <c r="I700" s="31"/>
      <c r="J700" s="215"/>
      <c r="K700" s="212"/>
      <c r="L700" s="717" t="s">
        <v>1200</v>
      </c>
      <c r="M700" s="717"/>
      <c r="N700" s="717"/>
      <c r="O700" s="717"/>
      <c r="P700" s="717"/>
      <c r="Q700" s="717"/>
      <c r="R700" s="717"/>
      <c r="S700" s="717"/>
      <c r="T700" s="717"/>
      <c r="U700" s="717"/>
      <c r="V700" s="717"/>
      <c r="W700" s="717"/>
      <c r="X700" s="717"/>
      <c r="Y700" s="717"/>
      <c r="Z700" s="717"/>
      <c r="AA700" s="717"/>
      <c r="AB700" s="717"/>
      <c r="AC700" s="717"/>
      <c r="AD700" s="717"/>
      <c r="AE700" s="717"/>
      <c r="AF700" s="717"/>
      <c r="AG700" s="717"/>
      <c r="AH700" s="717"/>
      <c r="AI700" s="717"/>
      <c r="AJ700" s="717"/>
      <c r="AK700" s="717"/>
      <c r="AL700" s="717"/>
      <c r="AM700" s="717"/>
      <c r="AN700" s="717"/>
      <c r="AO700" s="717"/>
      <c r="AP700" s="717"/>
      <c r="AQ700" s="717"/>
      <c r="AR700" s="717"/>
      <c r="AS700" s="20"/>
    </row>
    <row r="701" spans="1:45" ht="4.5" customHeight="1" x14ac:dyDescent="0.3">
      <c r="A701" s="13"/>
      <c r="B701" s="69"/>
      <c r="C701" s="31"/>
      <c r="D701" s="31"/>
      <c r="E701" s="34"/>
      <c r="F701" s="31"/>
      <c r="G701" s="31"/>
      <c r="H701" s="31"/>
      <c r="I701" s="31"/>
      <c r="J701" s="215"/>
      <c r="K701" s="212"/>
      <c r="L701" s="212"/>
      <c r="M701" s="212"/>
      <c r="N701" s="212"/>
      <c r="O701" s="212"/>
      <c r="P701" s="212"/>
      <c r="Q701" s="212"/>
      <c r="R701" s="212"/>
      <c r="S701" s="212"/>
      <c r="T701" s="212"/>
      <c r="U701" s="212"/>
      <c r="V701" s="212"/>
      <c r="W701" s="212"/>
      <c r="X701" s="212"/>
      <c r="Y701" s="212"/>
      <c r="Z701" s="212"/>
      <c r="AA701" s="212"/>
      <c r="AB701" s="212"/>
      <c r="AC701" s="212"/>
      <c r="AD701" s="212"/>
      <c r="AE701" s="212"/>
      <c r="AF701" s="212"/>
      <c r="AG701" s="212"/>
      <c r="AH701" s="212"/>
      <c r="AI701" s="212"/>
      <c r="AJ701" s="212"/>
      <c r="AK701" s="212"/>
      <c r="AL701" s="212"/>
      <c r="AM701" s="212"/>
      <c r="AN701" s="212"/>
      <c r="AO701" s="212"/>
      <c r="AP701" s="212"/>
      <c r="AQ701" s="212"/>
      <c r="AR701" s="212"/>
      <c r="AS701" s="20"/>
    </row>
    <row r="702" spans="1:45" ht="24.75" customHeight="1" x14ac:dyDescent="0.3">
      <c r="A702" s="13" t="s">
        <v>378</v>
      </c>
      <c r="B702" s="69"/>
      <c r="C702" s="31"/>
      <c r="D702" s="31"/>
      <c r="E702" s="32"/>
      <c r="F702" s="33"/>
      <c r="G702" s="31"/>
      <c r="H702" s="31"/>
      <c r="I702" s="31"/>
      <c r="J702" s="215"/>
      <c r="K702" s="212"/>
      <c r="L702" s="717" t="str">
        <f>IF(calculations!B3=1,"GOLD MEDAL with post-accident and for-cause drug testing of all drivers (including those who drive personal vehicles on JCC business","GOLD MEDAL with post-accident and for-cause drug testing of all drivers (including those who drive personal vehicles on YMCA business).")</f>
        <v>GOLD MEDAL with post-accident and for-cause drug testing of all drivers (including those who drive personal vehicles on YMCA business).</v>
      </c>
      <c r="M702" s="717"/>
      <c r="N702" s="717"/>
      <c r="O702" s="717"/>
      <c r="P702" s="717"/>
      <c r="Q702" s="717"/>
      <c r="R702" s="717"/>
      <c r="S702" s="717"/>
      <c r="T702" s="717"/>
      <c r="U702" s="717"/>
      <c r="V702" s="717"/>
      <c r="W702" s="717"/>
      <c r="X702" s="717"/>
      <c r="Y702" s="717"/>
      <c r="Z702" s="717"/>
      <c r="AA702" s="717"/>
      <c r="AB702" s="717"/>
      <c r="AC702" s="717"/>
      <c r="AD702" s="717"/>
      <c r="AE702" s="717"/>
      <c r="AF702" s="717"/>
      <c r="AG702" s="717"/>
      <c r="AH702" s="717"/>
      <c r="AI702" s="717"/>
      <c r="AJ702" s="717"/>
      <c r="AK702" s="717"/>
      <c r="AL702" s="717"/>
      <c r="AM702" s="717"/>
      <c r="AN702" s="717"/>
      <c r="AO702" s="717"/>
      <c r="AP702" s="717"/>
      <c r="AQ702" s="717"/>
      <c r="AR702" s="717"/>
      <c r="AS702" s="20"/>
    </row>
    <row r="703" spans="1:45" ht="4.5" customHeight="1" x14ac:dyDescent="0.3">
      <c r="A703" s="13"/>
      <c r="B703" s="69"/>
      <c r="C703" s="31"/>
      <c r="D703" s="31"/>
      <c r="E703" s="32"/>
      <c r="F703" s="33"/>
      <c r="G703" s="31"/>
      <c r="H703" s="31"/>
      <c r="I703" s="31"/>
      <c r="J703" s="215"/>
      <c r="K703" s="212"/>
      <c r="L703" s="212"/>
      <c r="M703" s="212"/>
      <c r="N703" s="212"/>
      <c r="O703" s="212"/>
      <c r="P703" s="212"/>
      <c r="Q703" s="212"/>
      <c r="R703" s="212"/>
      <c r="S703" s="212"/>
      <c r="T703" s="212"/>
      <c r="U703" s="212"/>
      <c r="V703" s="212"/>
      <c r="W703" s="212"/>
      <c r="X703" s="212"/>
      <c r="Y703" s="212"/>
      <c r="Z703" s="212"/>
      <c r="AA703" s="212"/>
      <c r="AB703" s="212"/>
      <c r="AC703" s="212"/>
      <c r="AD703" s="212"/>
      <c r="AE703" s="212"/>
      <c r="AF703" s="212"/>
      <c r="AG703" s="212"/>
      <c r="AH703" s="212"/>
      <c r="AI703" s="212"/>
      <c r="AJ703" s="212"/>
      <c r="AK703" s="212"/>
      <c r="AL703" s="212"/>
      <c r="AM703" s="212"/>
      <c r="AN703" s="212"/>
      <c r="AO703" s="212"/>
      <c r="AP703" s="212"/>
      <c r="AQ703" s="212"/>
      <c r="AR703" s="212"/>
      <c r="AS703" s="20"/>
    </row>
    <row r="704" spans="1:45" ht="24.75" customHeight="1" x14ac:dyDescent="0.3">
      <c r="A704" s="13" t="s">
        <v>379</v>
      </c>
      <c r="B704" s="69"/>
      <c r="C704" s="31"/>
      <c r="D704" s="31"/>
      <c r="E704" s="34"/>
      <c r="F704" s="31"/>
      <c r="G704" s="31"/>
      <c r="H704" s="31"/>
      <c r="I704" s="31"/>
      <c r="J704" s="215"/>
      <c r="K704" s="212"/>
      <c r="L704" s="717" t="s">
        <v>1201</v>
      </c>
      <c r="M704" s="717"/>
      <c r="N704" s="717"/>
      <c r="O704" s="717"/>
      <c r="P704" s="717"/>
      <c r="Q704" s="717"/>
      <c r="R704" s="717"/>
      <c r="S704" s="717"/>
      <c r="T704" s="717"/>
      <c r="U704" s="717"/>
      <c r="V704" s="717"/>
      <c r="W704" s="717"/>
      <c r="X704" s="717"/>
      <c r="Y704" s="717"/>
      <c r="Z704" s="717"/>
      <c r="AA704" s="717"/>
      <c r="AB704" s="717"/>
      <c r="AC704" s="717"/>
      <c r="AD704" s="717"/>
      <c r="AE704" s="717"/>
      <c r="AF704" s="717"/>
      <c r="AG704" s="717"/>
      <c r="AH704" s="717"/>
      <c r="AI704" s="717"/>
      <c r="AJ704" s="717"/>
      <c r="AK704" s="717"/>
      <c r="AL704" s="717"/>
      <c r="AM704" s="717"/>
      <c r="AN704" s="717"/>
      <c r="AO704" s="717"/>
      <c r="AP704" s="717"/>
      <c r="AQ704" s="717"/>
      <c r="AR704" s="717"/>
      <c r="AS704" s="20"/>
    </row>
    <row r="705" spans="1:44" ht="4.5" customHeight="1" x14ac:dyDescent="0.3">
      <c r="A705" s="13"/>
      <c r="B705" s="69"/>
      <c r="C705" s="31"/>
      <c r="D705" s="31"/>
      <c r="E705" s="34"/>
      <c r="F705" s="31"/>
      <c r="G705" s="31"/>
      <c r="H705" s="31"/>
      <c r="I705" s="31"/>
      <c r="J705" s="215"/>
      <c r="K705" s="212"/>
      <c r="L705" s="212"/>
      <c r="M705" s="212"/>
      <c r="N705" s="212"/>
      <c r="O705" s="212"/>
      <c r="P705" s="212"/>
      <c r="Q705" s="212"/>
      <c r="R705" s="212"/>
      <c r="S705" s="212"/>
      <c r="T705" s="212"/>
      <c r="U705" s="212"/>
      <c r="V705" s="212"/>
      <c r="W705" s="212"/>
      <c r="X705" s="212"/>
      <c r="Y705" s="212"/>
      <c r="Z705" s="212"/>
      <c r="AA705" s="212"/>
      <c r="AB705" s="212"/>
      <c r="AC705" s="212"/>
      <c r="AD705" s="212"/>
      <c r="AE705" s="212"/>
      <c r="AF705" s="212"/>
      <c r="AG705" s="212"/>
      <c r="AH705" s="212"/>
      <c r="AI705" s="212"/>
      <c r="AJ705" s="212"/>
      <c r="AK705" s="212"/>
      <c r="AL705" s="212"/>
      <c r="AM705" s="212"/>
      <c r="AN705" s="212"/>
      <c r="AO705" s="212"/>
      <c r="AP705" s="212"/>
      <c r="AQ705" s="212"/>
      <c r="AR705" s="212"/>
    </row>
    <row r="706" spans="1:44" x14ac:dyDescent="0.3">
      <c r="A706" s="13" t="s">
        <v>380</v>
      </c>
      <c r="B706" s="69"/>
      <c r="C706" s="31"/>
      <c r="D706" s="31"/>
      <c r="E706" s="32"/>
      <c r="F706" s="33"/>
      <c r="G706" s="31"/>
      <c r="H706" s="31"/>
      <c r="I706" s="31"/>
      <c r="J706" s="215"/>
      <c r="K706" s="212"/>
      <c r="L706" s="717" t="s">
        <v>1202</v>
      </c>
      <c r="M706" s="717"/>
      <c r="N706" s="717"/>
      <c r="O706" s="717"/>
      <c r="P706" s="717"/>
      <c r="Q706" s="717"/>
      <c r="R706" s="717"/>
      <c r="S706" s="717"/>
      <c r="T706" s="717"/>
      <c r="U706" s="717"/>
      <c r="V706" s="717"/>
      <c r="W706" s="717"/>
      <c r="X706" s="717"/>
      <c r="Y706" s="717"/>
      <c r="Z706" s="717"/>
      <c r="AA706" s="717"/>
      <c r="AB706" s="717"/>
      <c r="AC706" s="717"/>
      <c r="AD706" s="717"/>
      <c r="AE706" s="717"/>
      <c r="AF706" s="717"/>
      <c r="AG706" s="717"/>
      <c r="AH706" s="717"/>
      <c r="AI706" s="717"/>
      <c r="AJ706" s="717"/>
      <c r="AK706" s="717"/>
      <c r="AL706" s="717"/>
      <c r="AM706" s="717"/>
      <c r="AN706" s="717"/>
      <c r="AO706" s="717"/>
      <c r="AP706" s="717"/>
      <c r="AQ706" s="717"/>
      <c r="AR706" s="717"/>
    </row>
    <row r="707" spans="1:44" ht="4.5" customHeight="1" x14ac:dyDescent="0.3">
      <c r="A707" s="13"/>
      <c r="B707" s="69"/>
      <c r="E707" s="35"/>
      <c r="J707" s="214"/>
      <c r="K707" s="212"/>
      <c r="L707" s="212"/>
      <c r="M707" s="212"/>
      <c r="N707" s="212"/>
      <c r="O707" s="212"/>
      <c r="P707" s="212"/>
      <c r="Q707" s="212"/>
      <c r="R707" s="212"/>
      <c r="S707" s="212"/>
      <c r="T707" s="212"/>
      <c r="U707" s="212"/>
      <c r="V707" s="212"/>
      <c r="W707" s="212"/>
      <c r="X707" s="212"/>
      <c r="Y707" s="212"/>
      <c r="Z707" s="212"/>
      <c r="AA707" s="212"/>
      <c r="AB707" s="212"/>
      <c r="AC707" s="212"/>
      <c r="AD707" s="212"/>
      <c r="AE707" s="212"/>
      <c r="AF707" s="212"/>
      <c r="AG707" s="212"/>
      <c r="AH707" s="212"/>
      <c r="AI707" s="212"/>
      <c r="AJ707" s="212"/>
      <c r="AK707" s="212"/>
      <c r="AL707" s="212"/>
      <c r="AM707" s="212"/>
      <c r="AN707" s="212"/>
      <c r="AO707" s="212"/>
      <c r="AP707" s="212"/>
      <c r="AQ707" s="212"/>
      <c r="AR707" s="212"/>
    </row>
    <row r="708" spans="1:44" x14ac:dyDescent="0.3">
      <c r="A708" s="13" t="s">
        <v>381</v>
      </c>
      <c r="B708" s="69"/>
      <c r="E708" s="11"/>
      <c r="F708" s="3"/>
      <c r="J708" s="214"/>
      <c r="K708" s="212"/>
      <c r="L708" s="717" t="str">
        <f>IF(calculations!B3=1,"Drug-free workplace is not addressed in the organization's protocols.","Drug-free workplace is not addressed in the association's protocols.")</f>
        <v>Drug-free workplace is not addressed in the association's protocols.</v>
      </c>
      <c r="M708" s="717"/>
      <c r="N708" s="717"/>
      <c r="O708" s="717"/>
      <c r="P708" s="717"/>
      <c r="Q708" s="717"/>
      <c r="R708" s="717"/>
      <c r="S708" s="717"/>
      <c r="T708" s="717"/>
      <c r="U708" s="717"/>
      <c r="V708" s="717"/>
      <c r="W708" s="717"/>
      <c r="X708" s="717"/>
      <c r="Y708" s="717"/>
      <c r="Z708" s="717"/>
      <c r="AA708" s="717"/>
      <c r="AB708" s="717"/>
      <c r="AC708" s="717"/>
      <c r="AD708" s="717"/>
      <c r="AE708" s="717"/>
      <c r="AF708" s="717"/>
      <c r="AG708" s="717"/>
      <c r="AH708" s="717"/>
      <c r="AI708" s="717"/>
      <c r="AJ708" s="717"/>
      <c r="AK708" s="717"/>
      <c r="AL708" s="717"/>
      <c r="AM708" s="717"/>
      <c r="AN708" s="717"/>
      <c r="AO708" s="717"/>
      <c r="AP708" s="717"/>
      <c r="AQ708" s="717"/>
      <c r="AR708" s="717"/>
    </row>
    <row r="709" spans="1:44" ht="4.5" customHeight="1" x14ac:dyDescent="0.3">
      <c r="E709" s="11"/>
      <c r="J709" s="214"/>
      <c r="K709" s="216"/>
      <c r="L709" s="216"/>
      <c r="M709" s="216"/>
      <c r="N709" s="216"/>
      <c r="O709" s="216"/>
      <c r="P709" s="216"/>
      <c r="Q709" s="216"/>
      <c r="R709" s="216"/>
      <c r="S709" s="216"/>
      <c r="T709" s="216"/>
      <c r="U709" s="216"/>
      <c r="V709" s="216"/>
      <c r="W709" s="216"/>
      <c r="X709" s="216"/>
      <c r="Y709" s="216"/>
      <c r="Z709" s="216"/>
      <c r="AA709" s="216"/>
      <c r="AB709" s="216"/>
      <c r="AC709" s="216"/>
      <c r="AD709" s="216"/>
      <c r="AE709" s="216"/>
      <c r="AF709" s="216"/>
      <c r="AG709" s="216"/>
      <c r="AH709" s="216"/>
      <c r="AI709" s="216"/>
      <c r="AJ709" s="216"/>
      <c r="AK709" s="216"/>
      <c r="AL709" s="216"/>
      <c r="AM709" s="216"/>
      <c r="AN709" s="216"/>
      <c r="AO709" s="216"/>
      <c r="AP709" s="216"/>
      <c r="AQ709" s="216"/>
      <c r="AR709" s="216"/>
    </row>
    <row r="710" spans="1:44" ht="24.75" customHeight="1" x14ac:dyDescent="0.3">
      <c r="E710" s="11"/>
      <c r="F710" s="13" t="s">
        <v>700</v>
      </c>
      <c r="J710" s="706" t="str">
        <f>IF(calculations!M43,"describe corrective action proposed to correct any Red Flag or Yellow Flag ranking; NOTE: If there are CDL drivers, any flag response requires a recommendation, not an OFE",IF(calculations!N43,"describe corrective action proposed to correct any Red Flag or Yellow Flag ranking; NOTE: If there are CDL drivers, any flag response requires a recommendation, not an OFE","we changed the criteria"))</f>
        <v>we changed the criteria</v>
      </c>
      <c r="K710" s="707"/>
      <c r="L710" s="707"/>
      <c r="M710" s="707"/>
      <c r="N710" s="707"/>
      <c r="O710" s="707"/>
      <c r="P710" s="707"/>
      <c r="Q710" s="707"/>
      <c r="R710" s="707"/>
      <c r="S710" s="707"/>
      <c r="T710" s="707"/>
      <c r="U710" s="707"/>
      <c r="V710" s="707"/>
      <c r="W710" s="707"/>
      <c r="X710" s="707"/>
      <c r="Y710" s="707"/>
      <c r="Z710" s="707"/>
      <c r="AA710" s="707"/>
      <c r="AB710" s="707"/>
      <c r="AC710" s="707"/>
      <c r="AD710" s="707"/>
      <c r="AE710" s="707"/>
      <c r="AF710" s="707"/>
      <c r="AG710" s="707"/>
      <c r="AH710" s="707"/>
      <c r="AI710" s="707"/>
      <c r="AJ710" s="707"/>
      <c r="AK710" s="707"/>
      <c r="AL710" s="707"/>
      <c r="AM710" s="707"/>
      <c r="AN710" s="707"/>
      <c r="AO710" s="707"/>
      <c r="AP710" s="707"/>
      <c r="AQ710" s="707"/>
      <c r="AR710" s="708"/>
    </row>
    <row r="711" spans="1:44" ht="4.5" customHeight="1" x14ac:dyDescent="0.3">
      <c r="E711" s="11"/>
      <c r="G711" s="38"/>
      <c r="J711" s="214"/>
      <c r="K711" s="214"/>
      <c r="L711" s="214"/>
      <c r="M711" s="214"/>
      <c r="N711" s="214"/>
      <c r="O711" s="214"/>
      <c r="P711" s="214"/>
      <c r="Q711" s="214"/>
      <c r="R711" s="214"/>
      <c r="S711" s="214"/>
      <c r="T711" s="214"/>
      <c r="U711" s="214"/>
      <c r="V711" s="214"/>
      <c r="W711" s="214"/>
      <c r="X711" s="214"/>
      <c r="Y711" s="214"/>
      <c r="Z711" s="214"/>
      <c r="AA711" s="214"/>
      <c r="AB711" s="214"/>
      <c r="AC711" s="214"/>
      <c r="AD711" s="214"/>
      <c r="AE711" s="214"/>
      <c r="AF711" s="214"/>
      <c r="AG711" s="214"/>
      <c r="AH711" s="214"/>
      <c r="AI711" s="214"/>
      <c r="AJ711" s="214"/>
      <c r="AK711" s="214"/>
      <c r="AL711" s="214"/>
      <c r="AM711" s="214"/>
      <c r="AN711" s="214"/>
      <c r="AO711" s="214"/>
      <c r="AP711" s="214"/>
      <c r="AQ711" s="214"/>
      <c r="AR711" s="214"/>
    </row>
    <row r="712" spans="1:44" ht="26.25" customHeight="1" x14ac:dyDescent="0.3">
      <c r="E712" s="11"/>
      <c r="F712" s="55" t="str">
        <f>IF(calculations!M43,"OFE",IF(calculations!N43,"OFE",IF(J712&gt;"","REC","")))</f>
        <v/>
      </c>
      <c r="G712" s="38"/>
      <c r="J712" s="724" t="str">
        <f>IF(calculations!M43,CONCATENATE("OFE:  ",Rec!E70),IF(calculations!N43,CONCATENATE("OFE:  ",Rec!E71),""))</f>
        <v/>
      </c>
      <c r="K712" s="725"/>
      <c r="L712" s="725"/>
      <c r="M712" s="725"/>
      <c r="N712" s="725"/>
      <c r="O712" s="725"/>
      <c r="P712" s="725"/>
      <c r="Q712" s="725"/>
      <c r="R712" s="725"/>
      <c r="S712" s="725"/>
      <c r="T712" s="725"/>
      <c r="U712" s="725"/>
      <c r="V712" s="725"/>
      <c r="W712" s="725"/>
      <c r="X712" s="725"/>
      <c r="Y712" s="725"/>
      <c r="Z712" s="725"/>
      <c r="AA712" s="725"/>
      <c r="AB712" s="725"/>
      <c r="AC712" s="725"/>
      <c r="AD712" s="725"/>
      <c r="AE712" s="725"/>
      <c r="AF712" s="725"/>
      <c r="AG712" s="725"/>
      <c r="AH712" s="725"/>
      <c r="AI712" s="725"/>
      <c r="AJ712" s="725"/>
      <c r="AK712" s="725"/>
      <c r="AL712" s="725"/>
      <c r="AM712" s="725"/>
      <c r="AN712" s="725"/>
      <c r="AO712" s="725"/>
      <c r="AP712" s="725"/>
      <c r="AQ712" s="725"/>
      <c r="AR712" s="726"/>
    </row>
    <row r="713" spans="1:44" ht="26.25" customHeight="1" x14ac:dyDescent="0.3">
      <c r="E713" s="11"/>
      <c r="F713" s="55"/>
      <c r="G713" s="38"/>
      <c r="J713" s="563"/>
      <c r="K713" s="563"/>
      <c r="L713" s="563"/>
      <c r="M713" s="563"/>
      <c r="N713" s="563"/>
      <c r="O713" s="563"/>
      <c r="P713" s="563"/>
      <c r="Q713" s="563"/>
      <c r="R713" s="563"/>
      <c r="S713" s="563"/>
      <c r="T713" s="563"/>
      <c r="U713" s="563"/>
      <c r="V713" s="563"/>
      <c r="W713" s="563"/>
      <c r="X713" s="563"/>
      <c r="Y713" s="563"/>
      <c r="Z713" s="563"/>
      <c r="AA713" s="563"/>
      <c r="AB713" s="563"/>
      <c r="AC713" s="563"/>
      <c r="AD713" s="563"/>
      <c r="AE713" s="563"/>
      <c r="AF713" s="563"/>
      <c r="AG713" s="563"/>
      <c r="AH713" s="563"/>
      <c r="AI713" s="563"/>
      <c r="AJ713" s="563"/>
      <c r="AK713" s="563"/>
      <c r="AL713" s="563"/>
      <c r="AM713" s="563"/>
      <c r="AN713" s="563"/>
      <c r="AO713" s="563"/>
      <c r="AP713" s="563"/>
      <c r="AQ713" s="563"/>
      <c r="AR713" s="563"/>
    </row>
    <row r="714" spans="1:44" ht="26.25" customHeight="1" x14ac:dyDescent="0.35">
      <c r="A714" s="743">
        <v>5.5</v>
      </c>
      <c r="B714" s="743"/>
      <c r="D714" s="30" t="s">
        <v>1925</v>
      </c>
      <c r="E714" s="11"/>
    </row>
    <row r="715" spans="1:44" ht="4.5" customHeight="1" x14ac:dyDescent="0.3">
      <c r="A715" s="48"/>
      <c r="B715" s="70"/>
      <c r="E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row>
    <row r="716" spans="1:44" ht="75" customHeight="1" x14ac:dyDescent="0.3">
      <c r="A716" s="48" t="s">
        <v>1919</v>
      </c>
      <c r="B716" s="70"/>
      <c r="C716" s="31"/>
      <c r="D716" s="31"/>
      <c r="E716" s="32"/>
      <c r="F716" s="33"/>
      <c r="G716" s="31"/>
      <c r="H716" s="31"/>
      <c r="I716" s="31"/>
      <c r="J716" s="215"/>
      <c r="K716" s="212"/>
      <c r="L716" s="717" t="str">
        <f>IF(calculations!B3=1,forms!A254,forms!A253)</f>
        <v>There is no residence facility.
  OR 
The residence facility is operated by another entity who
    a)  meets the PLATINUM criteria for a Y managed residence
    b)  provides a COI with a named insured endorsement
    c)  gives the Y the right of refusal of any resident.</v>
      </c>
      <c r="M716" s="717"/>
      <c r="N716" s="717"/>
      <c r="O716" s="717"/>
      <c r="P716" s="717"/>
      <c r="Q716" s="717"/>
      <c r="R716" s="717"/>
      <c r="S716" s="717"/>
      <c r="T716" s="717"/>
      <c r="U716" s="717"/>
      <c r="V716" s="717"/>
      <c r="W716" s="717"/>
      <c r="X716" s="717"/>
      <c r="Y716" s="717"/>
      <c r="Z716" s="717"/>
      <c r="AA716" s="717"/>
      <c r="AB716" s="717"/>
      <c r="AC716" s="717"/>
      <c r="AD716" s="717"/>
      <c r="AE716" s="717"/>
      <c r="AF716" s="717"/>
      <c r="AG716" s="717"/>
      <c r="AH716" s="717"/>
      <c r="AI716" s="717"/>
      <c r="AJ716" s="717"/>
      <c r="AK716" s="717"/>
      <c r="AL716" s="717"/>
      <c r="AM716" s="717"/>
      <c r="AN716" s="717"/>
      <c r="AO716" s="717"/>
      <c r="AP716" s="717"/>
      <c r="AQ716" s="717"/>
      <c r="AR716" s="717"/>
    </row>
    <row r="717" spans="1:44" ht="4.5" customHeight="1" x14ac:dyDescent="0.3">
      <c r="A717" s="48"/>
      <c r="B717" s="70"/>
      <c r="C717" s="31"/>
      <c r="D717" s="31"/>
      <c r="E717" s="34"/>
      <c r="F717" s="31"/>
      <c r="G717" s="31"/>
      <c r="H717" s="31"/>
      <c r="I717" s="31"/>
      <c r="J717" s="215"/>
      <c r="K717" s="212"/>
      <c r="L717" s="212"/>
      <c r="M717" s="212"/>
      <c r="N717" s="212"/>
      <c r="O717" s="212"/>
      <c r="P717" s="212"/>
      <c r="Q717" s="212"/>
      <c r="R717" s="212"/>
      <c r="S717" s="212"/>
      <c r="T717" s="212"/>
      <c r="U717" s="212"/>
      <c r="V717" s="212"/>
      <c r="W717" s="212"/>
      <c r="X717" s="212"/>
      <c r="Y717" s="212"/>
      <c r="Z717" s="212"/>
      <c r="AA717" s="212"/>
      <c r="AB717" s="212"/>
      <c r="AC717" s="212"/>
      <c r="AD717" s="212"/>
      <c r="AE717" s="212"/>
      <c r="AF717" s="212"/>
      <c r="AG717" s="212"/>
      <c r="AH717" s="212"/>
      <c r="AI717" s="212"/>
      <c r="AJ717" s="212"/>
      <c r="AK717" s="212"/>
      <c r="AL717" s="212"/>
      <c r="AM717" s="212"/>
      <c r="AN717" s="212"/>
      <c r="AO717" s="212"/>
      <c r="AP717" s="212"/>
      <c r="AQ717" s="212"/>
      <c r="AR717" s="212"/>
    </row>
    <row r="718" spans="1:44" ht="86.25" customHeight="1" x14ac:dyDescent="0.3">
      <c r="A718" s="48" t="s">
        <v>1920</v>
      </c>
      <c r="B718" s="70"/>
      <c r="C718" s="31"/>
      <c r="D718" s="31"/>
      <c r="E718" s="32"/>
      <c r="F718" s="33"/>
      <c r="G718" s="31"/>
      <c r="H718" s="31"/>
      <c r="I718" s="31"/>
      <c r="J718" s="215"/>
      <c r="K718" s="212"/>
      <c r="L718" s="717" t="str">
        <f>IF(calculations!B3=1,forms!A256,forms!A255)</f>
        <v>GOLD MEDAL with the monitored entry being separate and well removed from the Y's entrance.
  OR
The residence facility is operated by another entity who
     a)  meets the GOLD criteria for a Y managed residence
    b)  provides a COI with a named insured endorsement
    c)  gives the Y the right of refusal of any resident</v>
      </c>
      <c r="M718" s="717"/>
      <c r="N718" s="717"/>
      <c r="O718" s="717"/>
      <c r="P718" s="717"/>
      <c r="Q718" s="717"/>
      <c r="R718" s="717"/>
      <c r="S718" s="717"/>
      <c r="T718" s="717"/>
      <c r="U718" s="717"/>
      <c r="V718" s="717"/>
      <c r="W718" s="717"/>
      <c r="X718" s="717"/>
      <c r="Y718" s="717"/>
      <c r="Z718" s="717"/>
      <c r="AA718" s="717"/>
      <c r="AB718" s="717"/>
      <c r="AC718" s="717"/>
      <c r="AD718" s="717"/>
      <c r="AE718" s="717"/>
      <c r="AF718" s="717"/>
      <c r="AG718" s="717"/>
      <c r="AH718" s="717"/>
      <c r="AI718" s="717"/>
      <c r="AJ718" s="717"/>
      <c r="AK718" s="717"/>
      <c r="AL718" s="717"/>
      <c r="AM718" s="717"/>
      <c r="AN718" s="717"/>
      <c r="AO718" s="717"/>
      <c r="AP718" s="717"/>
      <c r="AQ718" s="717"/>
      <c r="AR718" s="717"/>
    </row>
    <row r="719" spans="1:44" ht="4.5" customHeight="1" x14ac:dyDescent="0.3">
      <c r="A719" s="48"/>
      <c r="B719" s="70"/>
      <c r="C719" s="31"/>
      <c r="D719" s="31"/>
      <c r="E719" s="32"/>
      <c r="F719" s="33"/>
      <c r="G719" s="31"/>
      <c r="H719" s="31"/>
      <c r="I719" s="31"/>
      <c r="J719" s="215"/>
      <c r="K719" s="212"/>
      <c r="L719" s="212"/>
      <c r="M719" s="212"/>
      <c r="N719" s="212"/>
      <c r="O719" s="212"/>
      <c r="P719" s="212"/>
      <c r="Q719" s="212"/>
      <c r="R719" s="212"/>
      <c r="S719" s="212"/>
      <c r="T719" s="212"/>
      <c r="U719" s="212"/>
      <c r="V719" s="212"/>
      <c r="W719" s="212"/>
      <c r="X719" s="212"/>
      <c r="Y719" s="212"/>
      <c r="Z719" s="212"/>
      <c r="AA719" s="212"/>
      <c r="AB719" s="212"/>
      <c r="AC719" s="212"/>
      <c r="AD719" s="212"/>
      <c r="AE719" s="212"/>
      <c r="AF719" s="212"/>
      <c r="AG719" s="212"/>
      <c r="AH719" s="212"/>
      <c r="AI719" s="212"/>
      <c r="AJ719" s="212"/>
      <c r="AK719" s="212"/>
      <c r="AL719" s="212"/>
      <c r="AM719" s="212"/>
      <c r="AN719" s="212"/>
      <c r="AO719" s="212"/>
      <c r="AP719" s="212"/>
      <c r="AQ719" s="212"/>
      <c r="AR719" s="212"/>
    </row>
    <row r="720" spans="1:44" ht="99" customHeight="1" x14ac:dyDescent="0.3">
      <c r="A720" s="48" t="s">
        <v>1921</v>
      </c>
      <c r="B720" s="70"/>
      <c r="C720" s="31"/>
      <c r="D720" s="31"/>
      <c r="E720" s="34"/>
      <c r="F720" s="31"/>
      <c r="G720" s="31"/>
      <c r="H720" s="31"/>
      <c r="I720" s="31"/>
      <c r="J720" s="215"/>
      <c r="K720" s="212"/>
      <c r="L720" s="717" t="s">
        <v>1928</v>
      </c>
      <c r="M720" s="717"/>
      <c r="N720" s="717"/>
      <c r="O720" s="717"/>
      <c r="P720" s="717"/>
      <c r="Q720" s="717"/>
      <c r="R720" s="717"/>
      <c r="S720" s="717"/>
      <c r="T720" s="717"/>
      <c r="U720" s="717"/>
      <c r="V720" s="717"/>
      <c r="W720" s="717"/>
      <c r="X720" s="717"/>
      <c r="Y720" s="717"/>
      <c r="Z720" s="717"/>
      <c r="AA720" s="717"/>
      <c r="AB720" s="717"/>
      <c r="AC720" s="717"/>
      <c r="AD720" s="717"/>
      <c r="AE720" s="717"/>
      <c r="AF720" s="717"/>
      <c r="AG720" s="717"/>
      <c r="AH720" s="717"/>
      <c r="AI720" s="717"/>
      <c r="AJ720" s="717"/>
      <c r="AK720" s="717"/>
      <c r="AL720" s="717"/>
      <c r="AM720" s="717"/>
      <c r="AN720" s="717"/>
      <c r="AO720" s="717"/>
      <c r="AP720" s="717"/>
      <c r="AQ720" s="717"/>
      <c r="AR720" s="717"/>
    </row>
    <row r="721" spans="1:44" ht="4.5" customHeight="1" x14ac:dyDescent="0.3">
      <c r="A721" s="48"/>
      <c r="B721" s="70"/>
      <c r="C721" s="31"/>
      <c r="D721" s="31"/>
      <c r="E721" s="34"/>
      <c r="F721" s="31"/>
      <c r="G721" s="31"/>
      <c r="H721" s="31"/>
      <c r="I721" s="31"/>
      <c r="J721" s="215"/>
      <c r="K721" s="212"/>
      <c r="L721" s="212"/>
      <c r="M721" s="212"/>
      <c r="N721" s="212"/>
      <c r="O721" s="212"/>
      <c r="P721" s="212"/>
      <c r="Q721" s="212"/>
      <c r="R721" s="212"/>
      <c r="S721" s="212"/>
      <c r="T721" s="212"/>
      <c r="U721" s="212"/>
      <c r="V721" s="212"/>
      <c r="W721" s="212"/>
      <c r="X721" s="212"/>
      <c r="Y721" s="212"/>
      <c r="Z721" s="212"/>
      <c r="AA721" s="212"/>
      <c r="AB721" s="212"/>
      <c r="AC721" s="212"/>
      <c r="AD721" s="212"/>
      <c r="AE721" s="212"/>
      <c r="AF721" s="212"/>
      <c r="AG721" s="212"/>
      <c r="AH721" s="212"/>
      <c r="AI721" s="212"/>
      <c r="AJ721" s="212"/>
      <c r="AK721" s="212"/>
      <c r="AL721" s="212"/>
      <c r="AM721" s="212"/>
      <c r="AN721" s="212"/>
      <c r="AO721" s="212"/>
      <c r="AP721" s="212"/>
      <c r="AQ721" s="212"/>
      <c r="AR721" s="212"/>
    </row>
    <row r="722" spans="1:44" ht="16.5" customHeight="1" x14ac:dyDescent="0.3">
      <c r="A722" s="48" t="s">
        <v>1922</v>
      </c>
      <c r="B722" s="70"/>
      <c r="C722" s="31"/>
      <c r="D722" s="31"/>
      <c r="E722" s="32"/>
      <c r="F722" s="33"/>
      <c r="G722" s="31"/>
      <c r="H722" s="31"/>
      <c r="I722" s="31"/>
      <c r="J722" s="215"/>
      <c r="K722" s="212"/>
      <c r="L722" s="717" t="s">
        <v>1927</v>
      </c>
      <c r="M722" s="717"/>
      <c r="N722" s="717"/>
      <c r="O722" s="717"/>
      <c r="P722" s="717"/>
      <c r="Q722" s="717"/>
      <c r="R722" s="717"/>
      <c r="S722" s="717"/>
      <c r="T722" s="717"/>
      <c r="U722" s="717"/>
      <c r="V722" s="717"/>
      <c r="W722" s="717"/>
      <c r="X722" s="717"/>
      <c r="Y722" s="717"/>
      <c r="Z722" s="717"/>
      <c r="AA722" s="717"/>
      <c r="AB722" s="717"/>
      <c r="AC722" s="717"/>
      <c r="AD722" s="717"/>
      <c r="AE722" s="717"/>
      <c r="AF722" s="717"/>
      <c r="AG722" s="717"/>
      <c r="AH722" s="717"/>
      <c r="AI722" s="717"/>
      <c r="AJ722" s="717"/>
      <c r="AK722" s="717"/>
      <c r="AL722" s="717"/>
      <c r="AM722" s="717"/>
      <c r="AN722" s="717"/>
      <c r="AO722" s="717"/>
      <c r="AP722" s="717"/>
      <c r="AQ722" s="717"/>
      <c r="AR722" s="717"/>
    </row>
    <row r="723" spans="1:44" ht="4.5" customHeight="1" x14ac:dyDescent="0.3">
      <c r="A723" s="48"/>
      <c r="B723" s="70"/>
      <c r="E723" s="35"/>
      <c r="J723" s="214"/>
      <c r="K723" s="212"/>
      <c r="L723" s="212"/>
      <c r="M723" s="212"/>
      <c r="N723" s="212"/>
      <c r="O723" s="212"/>
      <c r="P723" s="212"/>
      <c r="Q723" s="212"/>
      <c r="R723" s="212"/>
      <c r="S723" s="212"/>
      <c r="T723" s="212"/>
      <c r="U723" s="212"/>
      <c r="V723" s="212"/>
      <c r="W723" s="212"/>
      <c r="X723" s="212"/>
      <c r="Y723" s="212"/>
      <c r="Z723" s="212"/>
      <c r="AA723" s="212"/>
      <c r="AB723" s="212"/>
      <c r="AC723" s="212"/>
      <c r="AD723" s="212"/>
      <c r="AE723" s="212"/>
      <c r="AF723" s="212"/>
      <c r="AG723" s="212"/>
      <c r="AH723" s="212"/>
      <c r="AI723" s="212"/>
      <c r="AJ723" s="212"/>
      <c r="AK723" s="212"/>
      <c r="AL723" s="212"/>
      <c r="AM723" s="212"/>
      <c r="AN723" s="212"/>
      <c r="AO723" s="212"/>
      <c r="AP723" s="212"/>
      <c r="AQ723" s="212"/>
      <c r="AR723" s="212"/>
    </row>
    <row r="724" spans="1:44" ht="16.5" customHeight="1" x14ac:dyDescent="0.3">
      <c r="A724" s="48" t="s">
        <v>1923</v>
      </c>
      <c r="B724" s="70"/>
      <c r="E724" s="11"/>
      <c r="F724" s="3"/>
      <c r="J724" s="214"/>
      <c r="K724" s="212"/>
      <c r="L724" s="717" t="s">
        <v>1926</v>
      </c>
      <c r="M724" s="717"/>
      <c r="N724" s="717"/>
      <c r="O724" s="717"/>
      <c r="P724" s="717"/>
      <c r="Q724" s="717"/>
      <c r="R724" s="717"/>
      <c r="S724" s="717"/>
      <c r="T724" s="717"/>
      <c r="U724" s="717"/>
      <c r="V724" s="717"/>
      <c r="W724" s="717"/>
      <c r="X724" s="717"/>
      <c r="Y724" s="717"/>
      <c r="Z724" s="717"/>
      <c r="AA724" s="717"/>
      <c r="AB724" s="717"/>
      <c r="AC724" s="717"/>
      <c r="AD724" s="717"/>
      <c r="AE724" s="717"/>
      <c r="AF724" s="717"/>
      <c r="AG724" s="717"/>
      <c r="AH724" s="717"/>
      <c r="AI724" s="717"/>
      <c r="AJ724" s="717"/>
      <c r="AK724" s="717"/>
      <c r="AL724" s="717"/>
      <c r="AM724" s="717"/>
      <c r="AN724" s="717"/>
      <c r="AO724" s="717"/>
      <c r="AP724" s="717"/>
      <c r="AQ724" s="717"/>
      <c r="AR724" s="717"/>
    </row>
    <row r="725" spans="1:44" ht="4.5" customHeight="1" x14ac:dyDescent="0.3">
      <c r="A725" s="77"/>
      <c r="B725" s="39"/>
      <c r="E725" s="11"/>
      <c r="J725" s="214"/>
      <c r="K725" s="216"/>
      <c r="L725" s="216"/>
      <c r="M725" s="216"/>
      <c r="N725" s="216"/>
      <c r="O725" s="216"/>
      <c r="P725" s="216"/>
      <c r="Q725" s="216"/>
      <c r="R725" s="216"/>
      <c r="S725" s="216"/>
      <c r="T725" s="216"/>
      <c r="U725" s="216"/>
      <c r="V725" s="216"/>
      <c r="W725" s="216"/>
      <c r="X725" s="216"/>
      <c r="Y725" s="216"/>
      <c r="Z725" s="216"/>
      <c r="AA725" s="216"/>
      <c r="AB725" s="216"/>
      <c r="AC725" s="216"/>
      <c r="AD725" s="216"/>
      <c r="AE725" s="216"/>
      <c r="AF725" s="216"/>
      <c r="AG725" s="216"/>
      <c r="AH725" s="216"/>
      <c r="AI725" s="216"/>
      <c r="AJ725" s="216"/>
      <c r="AK725" s="216"/>
      <c r="AL725" s="216"/>
      <c r="AM725" s="216"/>
      <c r="AN725" s="216"/>
      <c r="AO725" s="216"/>
      <c r="AP725" s="216"/>
      <c r="AQ725" s="216"/>
      <c r="AR725" s="216"/>
    </row>
    <row r="726" spans="1:44" ht="26.25" customHeight="1" x14ac:dyDescent="0.3">
      <c r="A726" s="77"/>
      <c r="B726" s="39"/>
      <c r="E726" s="11"/>
      <c r="F726" s="13" t="s">
        <v>700</v>
      </c>
      <c r="J726" s="706" t="str">
        <f>IF(calculations!M44,"describe corrective action proposed to correct any Red Flag or Yellow Flag ranking",IF(calculations!N44,"describe corrective action proposed to correct any Red Flag or Yellow Flag ranking","new category"))</f>
        <v>new category</v>
      </c>
      <c r="K726" s="707"/>
      <c r="L726" s="707"/>
      <c r="M726" s="707"/>
      <c r="N726" s="707"/>
      <c r="O726" s="707"/>
      <c r="P726" s="707"/>
      <c r="Q726" s="707"/>
      <c r="R726" s="707"/>
      <c r="S726" s="707"/>
      <c r="T726" s="707"/>
      <c r="U726" s="707"/>
      <c r="V726" s="707"/>
      <c r="W726" s="707"/>
      <c r="X726" s="707"/>
      <c r="Y726" s="707"/>
      <c r="Z726" s="707"/>
      <c r="AA726" s="707"/>
      <c r="AB726" s="707"/>
      <c r="AC726" s="707"/>
      <c r="AD726" s="707"/>
      <c r="AE726" s="707"/>
      <c r="AF726" s="707"/>
      <c r="AG726" s="707"/>
      <c r="AH726" s="707"/>
      <c r="AI726" s="707"/>
      <c r="AJ726" s="707"/>
      <c r="AK726" s="707"/>
      <c r="AL726" s="707"/>
      <c r="AM726" s="707"/>
      <c r="AN726" s="707"/>
      <c r="AO726" s="707"/>
      <c r="AP726" s="707"/>
      <c r="AQ726" s="707"/>
      <c r="AR726" s="708"/>
    </row>
    <row r="727" spans="1:44" ht="4.5" customHeight="1" x14ac:dyDescent="0.3">
      <c r="A727" s="77"/>
      <c r="B727" s="39"/>
      <c r="E727" s="11"/>
      <c r="G727" s="38"/>
      <c r="J727" s="214"/>
      <c r="K727" s="214"/>
      <c r="L727" s="214"/>
      <c r="M727" s="214"/>
      <c r="N727" s="214"/>
      <c r="O727" s="214"/>
      <c r="P727" s="214"/>
      <c r="Q727" s="214"/>
      <c r="R727" s="214"/>
      <c r="S727" s="214"/>
      <c r="T727" s="214"/>
      <c r="U727" s="214"/>
      <c r="V727" s="214"/>
      <c r="W727" s="214"/>
      <c r="X727" s="214"/>
      <c r="Y727" s="214"/>
      <c r="Z727" s="214"/>
      <c r="AA727" s="214"/>
      <c r="AB727" s="214"/>
      <c r="AC727" s="214"/>
      <c r="AD727" s="214"/>
      <c r="AE727" s="214"/>
      <c r="AF727" s="214"/>
      <c r="AG727" s="214"/>
      <c r="AH727" s="214"/>
      <c r="AI727" s="214"/>
      <c r="AJ727" s="214"/>
      <c r="AK727" s="214"/>
      <c r="AL727" s="214"/>
      <c r="AM727" s="214"/>
      <c r="AN727" s="214"/>
      <c r="AO727" s="214"/>
      <c r="AP727" s="214"/>
      <c r="AQ727" s="214"/>
      <c r="AR727" s="214"/>
    </row>
    <row r="728" spans="1:44" ht="50.25" customHeight="1" x14ac:dyDescent="0.3">
      <c r="A728" s="77"/>
      <c r="B728" s="39"/>
      <c r="E728" s="11"/>
      <c r="F728" s="55" t="str">
        <f>IF(J728&gt;"","REC",IF(calculations!M44,"REC",IF(calculations!N44,"REC","")))</f>
        <v/>
      </c>
      <c r="G728" s="38"/>
      <c r="J728" s="724" t="str">
        <f>IF(calculations!M44=TRUE,Rec!E72,IF(calculations!N44=TRUE,Rec!E73,""))</f>
        <v/>
      </c>
      <c r="K728" s="725"/>
      <c r="L728" s="725"/>
      <c r="M728" s="725"/>
      <c r="N728" s="725"/>
      <c r="O728" s="725"/>
      <c r="P728" s="725"/>
      <c r="Q728" s="725"/>
      <c r="R728" s="725"/>
      <c r="S728" s="725"/>
      <c r="T728" s="725"/>
      <c r="U728" s="725"/>
      <c r="V728" s="725"/>
      <c r="W728" s="725"/>
      <c r="X728" s="725"/>
      <c r="Y728" s="725"/>
      <c r="Z728" s="725"/>
      <c r="AA728" s="725"/>
      <c r="AB728" s="725"/>
      <c r="AC728" s="725"/>
      <c r="AD728" s="725"/>
      <c r="AE728" s="725"/>
      <c r="AF728" s="725"/>
      <c r="AG728" s="725"/>
      <c r="AH728" s="725"/>
      <c r="AI728" s="725"/>
      <c r="AJ728" s="725"/>
      <c r="AK728" s="725"/>
      <c r="AL728" s="725"/>
      <c r="AM728" s="725"/>
      <c r="AN728" s="725"/>
      <c r="AO728" s="725"/>
      <c r="AP728" s="725"/>
      <c r="AQ728" s="725"/>
      <c r="AR728" s="726"/>
    </row>
    <row r="729" spans="1:44" ht="13.5" customHeight="1" x14ac:dyDescent="0.3">
      <c r="A729" s="77"/>
      <c r="B729" s="39"/>
      <c r="F729" s="37"/>
    </row>
    <row r="730" spans="1:44" s="657" customFormat="1" ht="26.25" customHeight="1" x14ac:dyDescent="0.6"/>
    <row r="731" spans="1:44" s="657" customFormat="1" ht="12.75" customHeight="1" x14ac:dyDescent="0.6"/>
    <row r="732" spans="1:44" s="657" customFormat="1" ht="12.75" customHeight="1" x14ac:dyDescent="0.6"/>
    <row r="733" spans="1:44" s="657" customFormat="1" ht="12.75" customHeight="1" x14ac:dyDescent="0.6"/>
    <row r="734" spans="1:44" s="657" customFormat="1" ht="12.75" customHeight="1" x14ac:dyDescent="0.6"/>
    <row r="735" spans="1:44" s="657" customFormat="1" ht="5.25" customHeight="1" x14ac:dyDescent="0.6"/>
    <row r="736" spans="1:44" s="657" customFormat="1" ht="12.75" customHeight="1" x14ac:dyDescent="0.6"/>
    <row r="737" s="657" customFormat="1" ht="4.5" customHeight="1" x14ac:dyDescent="0.6"/>
    <row r="738" s="657" customFormat="1" ht="12.75" customHeight="1" x14ac:dyDescent="0.6"/>
    <row r="739" s="657" customFormat="1" ht="4.5" customHeight="1" x14ac:dyDescent="0.6"/>
    <row r="740" s="657" customFormat="1" ht="12.75" customHeight="1" x14ac:dyDescent="0.6"/>
    <row r="741" s="657" customFormat="1" ht="4.5" customHeight="1" x14ac:dyDescent="0.6"/>
    <row r="742" s="657" customFormat="1" ht="12.75" customHeight="1" x14ac:dyDescent="0.6"/>
    <row r="743" s="657" customFormat="1" ht="4.5" customHeight="1" x14ac:dyDescent="0.6"/>
    <row r="744" s="657" customFormat="1" ht="12.75" customHeight="1" x14ac:dyDescent="0.6"/>
    <row r="745" s="657" customFormat="1" ht="4.5" customHeight="1" x14ac:dyDescent="0.6"/>
    <row r="746" s="657" customFormat="1" ht="12.75" customHeight="1" x14ac:dyDescent="0.6"/>
    <row r="747" s="657" customFormat="1" ht="4.5" customHeight="1" x14ac:dyDescent="0.6"/>
    <row r="748" s="657" customFormat="1" ht="12.75" customHeight="1" x14ac:dyDescent="0.6"/>
    <row r="749" s="657" customFormat="1" ht="4.5" customHeight="1" x14ac:dyDescent="0.6"/>
    <row r="750" s="657" customFormat="1" ht="12.75" customHeight="1" x14ac:dyDescent="0.6"/>
    <row r="751" s="657" customFormat="1" ht="4.5" customHeight="1" x14ac:dyDescent="0.6"/>
    <row r="752" s="657" customFormat="1" ht="12.75" customHeight="1" x14ac:dyDescent="0.6"/>
    <row r="753" s="657" customFormat="1" ht="4.5" customHeight="1" x14ac:dyDescent="0.6"/>
    <row r="754" s="657" customFormat="1" ht="12.75" customHeight="1" x14ac:dyDescent="0.6"/>
    <row r="755" s="657" customFormat="1" ht="4.5" customHeight="1" x14ac:dyDescent="0.6"/>
    <row r="756" s="657" customFormat="1" ht="12.75" customHeight="1" x14ac:dyDescent="0.6"/>
    <row r="757" s="657" customFormat="1" ht="4.5" customHeight="1" x14ac:dyDescent="0.6"/>
    <row r="758" s="657" customFormat="1" ht="12.75" customHeight="1" x14ac:dyDescent="0.6"/>
    <row r="759" s="657" customFormat="1" ht="4.5" customHeight="1" x14ac:dyDescent="0.6"/>
    <row r="760" s="657" customFormat="1" ht="12.75" customHeight="1" x14ac:dyDescent="0.6"/>
    <row r="761" s="657" customFormat="1" ht="4.5" customHeight="1" x14ac:dyDescent="0.6"/>
    <row r="762" s="657" customFormat="1" ht="12.75" customHeight="1" x14ac:dyDescent="0.6"/>
    <row r="763" s="657" customFormat="1" ht="4.5" customHeight="1" x14ac:dyDescent="0.6"/>
    <row r="764" s="657" customFormat="1" ht="12.75" customHeight="1" x14ac:dyDescent="0.6"/>
    <row r="765" s="657" customFormat="1" ht="4.5" customHeight="1" x14ac:dyDescent="0.6"/>
    <row r="766" s="657" customFormat="1" ht="12.75" customHeight="1" x14ac:dyDescent="0.6"/>
    <row r="767" s="657" customFormat="1" ht="4.5" customHeight="1" x14ac:dyDescent="0.6"/>
    <row r="768" s="657" customFormat="1" ht="12.75" customHeight="1" x14ac:dyDescent="0.6"/>
    <row r="769" s="657" customFormat="1" ht="4.5" customHeight="1" x14ac:dyDescent="0.6"/>
    <row r="770" s="657" customFormat="1" ht="12.75" customHeight="1" x14ac:dyDescent="0.6"/>
    <row r="771" s="657" customFormat="1" ht="4.5" customHeight="1" x14ac:dyDescent="0.6"/>
    <row r="772" s="657" customFormat="1" ht="12.75" customHeight="1" x14ac:dyDescent="0.6"/>
    <row r="773" s="657" customFormat="1" ht="4.5" customHeight="1" x14ac:dyDescent="0.6"/>
    <row r="774" s="657" customFormat="1" ht="12.75" customHeight="1" x14ac:dyDescent="0.6"/>
    <row r="775" s="657" customFormat="1" ht="4.5" customHeight="1" x14ac:dyDescent="0.6"/>
    <row r="776" s="657" customFormat="1" ht="12.75" customHeight="1" x14ac:dyDescent="0.6"/>
    <row r="777" s="657" customFormat="1" ht="4.5" customHeight="1" x14ac:dyDescent="0.6"/>
    <row r="778" s="657" customFormat="1" ht="12.75" customHeight="1" x14ac:dyDescent="0.6"/>
    <row r="779" s="657" customFormat="1" ht="3.75" customHeight="1" x14ac:dyDescent="0.6"/>
    <row r="780" s="657" customFormat="1" ht="12.75" customHeight="1" x14ac:dyDescent="0.6"/>
    <row r="781" s="657" customFormat="1" ht="4.5" customHeight="1" x14ac:dyDescent="0.6"/>
    <row r="782" s="657" customFormat="1" ht="12.75" customHeight="1" x14ac:dyDescent="0.6"/>
    <row r="783" s="657" customFormat="1" ht="3.75" customHeight="1" x14ac:dyDescent="0.6"/>
    <row r="784" s="657" customFormat="1" ht="12.75" customHeight="1" x14ac:dyDescent="0.6"/>
    <row r="785" s="657" customFormat="1" ht="4.5" customHeight="1" x14ac:dyDescent="0.6"/>
    <row r="786" s="657" customFormat="1" ht="17.05" customHeight="1" x14ac:dyDescent="0.6"/>
    <row r="787" s="657" customFormat="1" ht="3.75" customHeight="1" x14ac:dyDescent="0.6"/>
    <row r="788" s="657" customFormat="1" ht="17.05" customHeight="1" x14ac:dyDescent="0.6"/>
    <row r="789" s="657" customFormat="1" ht="4.5" customHeight="1" x14ac:dyDescent="0.6"/>
    <row r="790" s="657" customFormat="1" ht="14.25" customHeight="1" x14ac:dyDescent="0.6"/>
    <row r="791" s="657" customFormat="1" ht="4.5" customHeight="1" x14ac:dyDescent="0.6"/>
    <row r="792" s="657" customFormat="1" ht="17.05" customHeight="1" x14ac:dyDescent="0.6"/>
    <row r="793" s="657" customFormat="1" ht="4.5" customHeight="1" x14ac:dyDescent="0.6"/>
    <row r="794" s="657" customFormat="1" ht="12.75" customHeight="1" x14ac:dyDescent="0.6"/>
    <row r="795" s="657" customFormat="1" ht="4.5" customHeight="1" x14ac:dyDescent="0.6"/>
    <row r="796" s="657" customFormat="1" ht="12.75" customHeight="1" x14ac:dyDescent="0.6"/>
    <row r="797" s="657" customFormat="1" ht="4.5" customHeight="1" x14ac:dyDescent="0.6"/>
    <row r="798" s="657" customFormat="1" ht="12.75" customHeight="1" x14ac:dyDescent="0.6"/>
    <row r="799" s="657" customFormat="1" ht="3.75" customHeight="1" x14ac:dyDescent="0.6"/>
    <row r="800" s="657" customFormat="1" ht="12.75" customHeight="1" x14ac:dyDescent="0.6"/>
    <row r="801" s="657" customFormat="1" ht="3.75" customHeight="1" x14ac:dyDescent="0.6"/>
    <row r="802" s="657" customFormat="1" ht="12.75" customHeight="1" x14ac:dyDescent="0.6"/>
    <row r="803" s="657" customFormat="1" ht="4.5" customHeight="1" x14ac:dyDescent="0.6"/>
    <row r="804" s="657" customFormat="1" ht="12.75" customHeight="1" x14ac:dyDescent="0.6"/>
    <row r="805" s="657" customFormat="1" ht="4.5" customHeight="1" x14ac:dyDescent="0.6"/>
    <row r="806" s="657" customFormat="1" ht="12.75" customHeight="1" x14ac:dyDescent="0.6"/>
    <row r="807" s="657" customFormat="1" ht="4.5" customHeight="1" x14ac:dyDescent="0.6"/>
    <row r="808" s="657" customFormat="1" ht="12.75" customHeight="1" x14ac:dyDescent="0.6"/>
    <row r="809" s="657" customFormat="1" ht="3.75" customHeight="1" x14ac:dyDescent="0.6"/>
    <row r="810" s="657" customFormat="1" ht="12.75" customHeight="1" x14ac:dyDescent="0.6"/>
    <row r="811" s="657" customFormat="1" ht="4.5" customHeight="1" x14ac:dyDescent="0.6"/>
    <row r="812" s="657" customFormat="1" ht="12.75" customHeight="1" x14ac:dyDescent="0.6"/>
    <row r="813" s="657" customFormat="1" ht="4.5" customHeight="1" x14ac:dyDescent="0.6"/>
    <row r="814" s="657" customFormat="1" ht="12.75" customHeight="1" x14ac:dyDescent="0.6"/>
    <row r="815" s="657" customFormat="1" ht="3.75" customHeight="1" x14ac:dyDescent="0.6"/>
    <row r="816" s="657" customFormat="1" ht="12.75" customHeight="1" x14ac:dyDescent="0.6"/>
    <row r="817" s="657" customFormat="1" ht="4.5" customHeight="1" x14ac:dyDescent="0.6"/>
    <row r="818" s="657" customFormat="1" ht="12.75" customHeight="1" x14ac:dyDescent="0.6"/>
    <row r="819" s="657" customFormat="1" ht="4.5" customHeight="1" x14ac:dyDescent="0.6"/>
    <row r="820" s="657" customFormat="1" ht="12.75" customHeight="1" x14ac:dyDescent="0.6"/>
    <row r="821" s="657" customFormat="1" ht="4.5" customHeight="1" x14ac:dyDescent="0.6"/>
    <row r="822" s="657" customFormat="1" ht="12.75" customHeight="1" x14ac:dyDescent="0.6"/>
    <row r="823" s="657" customFormat="1" ht="4.5" customHeight="1" x14ac:dyDescent="0.6"/>
    <row r="824" s="657" customFormat="1" ht="12.75" customHeight="1" x14ac:dyDescent="0.6"/>
    <row r="825" s="657" customFormat="1" ht="4.5" customHeight="1" x14ac:dyDescent="0.6"/>
    <row r="826" s="657" customFormat="1" ht="12.75" customHeight="1" x14ac:dyDescent="0.6"/>
    <row r="827" s="657" customFormat="1" ht="4.5" customHeight="1" x14ac:dyDescent="0.6"/>
    <row r="828" s="657" customFormat="1" ht="12.75" customHeight="1" x14ac:dyDescent="0.6"/>
    <row r="829" s="657" customFormat="1" ht="3.75" customHeight="1" x14ac:dyDescent="0.6"/>
    <row r="830" s="657" customFormat="1" ht="12.75" customHeight="1" x14ac:dyDescent="0.6"/>
    <row r="831" s="657" customFormat="1" ht="5.25" customHeight="1" x14ac:dyDescent="0.6"/>
    <row r="832" s="657" customFormat="1" ht="12.75" customHeight="1" x14ac:dyDescent="0.6"/>
    <row r="833" s="657" customFormat="1" ht="4.5" customHeight="1" x14ac:dyDescent="0.6"/>
    <row r="834" s="657" customFormat="1" ht="12.75" customHeight="1" x14ac:dyDescent="0.6"/>
    <row r="835" s="657" customFormat="1" ht="3.75" customHeight="1" x14ac:dyDescent="0.6"/>
    <row r="836" s="657" customFormat="1" ht="12.75" customHeight="1" x14ac:dyDescent="0.6"/>
    <row r="837" s="657" customFormat="1" ht="4.5" customHeight="1" x14ac:dyDescent="0.6"/>
    <row r="838" s="657" customFormat="1" ht="13.5" customHeight="1" x14ac:dyDescent="0.6"/>
    <row r="839" s="657" customFormat="1" ht="4.5" customHeight="1" x14ac:dyDescent="0.6"/>
    <row r="840" s="657" customFormat="1" ht="12.75" customHeight="1" x14ac:dyDescent="0.6"/>
    <row r="841" s="657" customFormat="1" ht="4.5" customHeight="1" x14ac:dyDescent="0.6"/>
    <row r="842" s="657" customFormat="1" ht="12.75" customHeight="1" x14ac:dyDescent="0.6"/>
    <row r="843" s="657" customFormat="1" ht="3.75" customHeight="1" x14ac:dyDescent="0.6"/>
    <row r="844" s="657" customFormat="1" ht="12.75" customHeight="1" x14ac:dyDescent="0.6"/>
    <row r="845" s="657" customFormat="1" ht="4.5" customHeight="1" x14ac:dyDescent="0.6"/>
    <row r="846" s="657" customFormat="1" ht="12.75" customHeight="1" x14ac:dyDescent="0.6"/>
    <row r="847" s="657" customFormat="1" ht="4.5" customHeight="1" x14ac:dyDescent="0.6"/>
    <row r="848" s="657" customFormat="1" ht="12.75" customHeight="1" x14ac:dyDescent="0.6"/>
    <row r="849" s="657" customFormat="1" ht="4.5" customHeight="1" x14ac:dyDescent="0.6"/>
    <row r="850" s="657" customFormat="1" ht="12.75" customHeight="1" x14ac:dyDescent="0.6"/>
    <row r="851" s="657" customFormat="1" ht="4.5" customHeight="1" x14ac:dyDescent="0.6"/>
    <row r="852" s="657" customFormat="1" ht="12.75" customHeight="1" x14ac:dyDescent="0.6"/>
    <row r="853" s="657" customFormat="1" ht="12.75" customHeight="1" x14ac:dyDescent="0.6"/>
    <row r="854" s="657" customFormat="1" ht="12.75" customHeight="1" x14ac:dyDescent="0.6"/>
    <row r="855" s="657" customFormat="1" ht="12.75" customHeight="1" x14ac:dyDescent="0.6"/>
    <row r="856" s="657" customFormat="1" ht="12.75" customHeight="1" x14ac:dyDescent="0.6"/>
    <row r="857" s="657" customFormat="1" ht="12.75" customHeight="1" x14ac:dyDescent="0.6"/>
    <row r="858" s="657" customFormat="1" ht="12.75" customHeight="1" x14ac:dyDescent="0.6"/>
    <row r="859" s="657" customFormat="1" ht="12.75" customHeight="1" x14ac:dyDescent="0.6"/>
    <row r="860" s="657" customFormat="1" ht="12.75" customHeight="1" x14ac:dyDescent="0.6"/>
    <row r="861" s="657" customFormat="1" ht="12.75" customHeight="1" x14ac:dyDescent="0.6"/>
    <row r="862" s="657" customFormat="1" ht="12.75" customHeight="1" x14ac:dyDescent="0.6"/>
    <row r="863" s="657" customFormat="1" ht="12.75" customHeight="1" x14ac:dyDescent="0.6"/>
    <row r="864" s="657" customFormat="1" ht="12.75" customHeight="1" x14ac:dyDescent="0.6"/>
    <row r="865" s="657" customFormat="1" ht="12.75" customHeight="1" x14ac:dyDescent="0.6"/>
    <row r="866" s="657" customFormat="1" ht="12.75" customHeight="1" x14ac:dyDescent="0.6"/>
    <row r="867" s="657" customFormat="1" ht="12.75" customHeight="1" x14ac:dyDescent="0.6"/>
    <row r="868" s="657" customFormat="1" ht="12.75" customHeight="1" x14ac:dyDescent="0.6"/>
    <row r="869" s="657" customFormat="1" ht="12.75" customHeight="1" x14ac:dyDescent="0.6"/>
    <row r="870" s="657" customFormat="1" ht="12.75" customHeight="1" x14ac:dyDescent="0.6"/>
    <row r="871" s="657" customFormat="1" ht="12.75" customHeight="1" x14ac:dyDescent="0.6"/>
    <row r="872" s="657" customFormat="1" ht="12.75" customHeight="1" x14ac:dyDescent="0.6"/>
    <row r="873" s="657" customFormat="1" ht="12.75" customHeight="1" x14ac:dyDescent="0.6"/>
    <row r="874" s="657" customFormat="1" ht="12.75" customHeight="1" x14ac:dyDescent="0.6"/>
    <row r="875" s="657" customFormat="1" ht="12.75" customHeight="1" x14ac:dyDescent="0.6"/>
    <row r="876" s="657" customFormat="1" ht="12.75" customHeight="1" x14ac:dyDescent="0.6"/>
    <row r="877" s="657" customFormat="1" ht="12.75" customHeight="1" x14ac:dyDescent="0.6"/>
    <row r="878" s="657" customFormat="1" ht="12.75" customHeight="1" x14ac:dyDescent="0.6"/>
    <row r="879" s="657" customFormat="1" ht="12.75" customHeight="1" x14ac:dyDescent="0.6"/>
    <row r="880" s="657" customFormat="1" ht="12.75" customHeight="1" x14ac:dyDescent="0.6"/>
    <row r="881" s="657" customFormat="1" ht="12.75" customHeight="1" x14ac:dyDescent="0.6"/>
    <row r="882" s="657" customFormat="1" ht="12.75" customHeight="1" x14ac:dyDescent="0.6"/>
    <row r="883" s="657" customFormat="1" ht="12.75" customHeight="1" x14ac:dyDescent="0.6"/>
    <row r="884" s="657" customFormat="1" ht="12.75" customHeight="1" x14ac:dyDescent="0.6"/>
  </sheetData>
  <sheetProtection password="CD90" sheet="1" objects="1" scenarios="1" formatCells="0" formatRows="0" insertRows="0"/>
  <dataConsolidate/>
  <mergeCells count="388">
    <mergeCell ref="C20:AR20"/>
    <mergeCell ref="C22:AR22"/>
    <mergeCell ref="C24:AR24"/>
    <mergeCell ref="L285:AR285"/>
    <mergeCell ref="L315:AR315"/>
    <mergeCell ref="L321:AR321"/>
    <mergeCell ref="AC494:AH494"/>
    <mergeCell ref="L283:AR283"/>
    <mergeCell ref="AJ494:AR494"/>
    <mergeCell ref="L333:AR333"/>
    <mergeCell ref="L427:AR427"/>
    <mergeCell ref="L30:M30"/>
    <mergeCell ref="AQ30:AR30"/>
    <mergeCell ref="AL30:AM30"/>
    <mergeCell ref="AG30:AH30"/>
    <mergeCell ref="AA30:AB30"/>
    <mergeCell ref="U30:V30"/>
    <mergeCell ref="L219:AR219"/>
    <mergeCell ref="L215:AR215"/>
    <mergeCell ref="L233:AR233"/>
    <mergeCell ref="L235:AR238"/>
    <mergeCell ref="L240:AR242"/>
    <mergeCell ref="J225:AR225"/>
    <mergeCell ref="J248:AR248"/>
    <mergeCell ref="L378:AR378"/>
    <mergeCell ref="L397:AR397"/>
    <mergeCell ref="J533:AR533"/>
    <mergeCell ref="A493:AR493"/>
    <mergeCell ref="J531:AR531"/>
    <mergeCell ref="J513:AR513"/>
    <mergeCell ref="L505:AR505"/>
    <mergeCell ref="L525:AR525"/>
    <mergeCell ref="L507:AR507"/>
    <mergeCell ref="L467:AR467"/>
    <mergeCell ref="L447:AR447"/>
    <mergeCell ref="L449:AR449"/>
    <mergeCell ref="L451:AR451"/>
    <mergeCell ref="A384:B384"/>
    <mergeCell ref="L509:AR509"/>
    <mergeCell ref="J511:AR511"/>
    <mergeCell ref="L527:AR527"/>
    <mergeCell ref="AJ495:AR495"/>
    <mergeCell ref="L463:AR463"/>
    <mergeCell ref="J325:AR325"/>
    <mergeCell ref="L355:AR355"/>
    <mergeCell ref="L295:AR295"/>
    <mergeCell ref="L349:AR349"/>
    <mergeCell ref="L347:AR347"/>
    <mergeCell ref="J343:AR343"/>
    <mergeCell ref="L331:AR331"/>
    <mergeCell ref="L353:AR353"/>
    <mergeCell ref="L257:AR257"/>
    <mergeCell ref="L265:AR265"/>
    <mergeCell ref="L261:AR261"/>
    <mergeCell ref="J287:AR287"/>
    <mergeCell ref="L263:AR263"/>
    <mergeCell ref="L339:AR339"/>
    <mergeCell ref="J289:AR289"/>
    <mergeCell ref="A255:B255"/>
    <mergeCell ref="A273:B273"/>
    <mergeCell ref="J455:AR455"/>
    <mergeCell ref="L429:AR429"/>
    <mergeCell ref="L411:AR411"/>
    <mergeCell ref="L423:AR423"/>
    <mergeCell ref="L279:AR279"/>
    <mergeCell ref="L277:AR277"/>
    <mergeCell ref="J207:AR207"/>
    <mergeCell ref="L281:AR281"/>
    <mergeCell ref="L337:AR337"/>
    <mergeCell ref="L319:AR319"/>
    <mergeCell ref="L267:AR267"/>
    <mergeCell ref="AJ253:AR253"/>
    <mergeCell ref="J269:AR269"/>
    <mergeCell ref="L317:AR317"/>
    <mergeCell ref="J271:AR271"/>
    <mergeCell ref="L391:AR391"/>
    <mergeCell ref="L369:AR369"/>
    <mergeCell ref="L371:AR373"/>
    <mergeCell ref="L275:AR275"/>
    <mergeCell ref="J401:AR401"/>
    <mergeCell ref="L375:AR376"/>
    <mergeCell ref="L299:AR299"/>
    <mergeCell ref="A714:B714"/>
    <mergeCell ref="L413:AR413"/>
    <mergeCell ref="A291:B291"/>
    <mergeCell ref="A309:B309"/>
    <mergeCell ref="A327:B327"/>
    <mergeCell ref="A421:B421"/>
    <mergeCell ref="L386:AR386"/>
    <mergeCell ref="L388:AR389"/>
    <mergeCell ref="J417:AR417"/>
    <mergeCell ref="L409:AR409"/>
    <mergeCell ref="L313:AR313"/>
    <mergeCell ref="A403:B403"/>
    <mergeCell ref="A363:B363"/>
    <mergeCell ref="J419:AR419"/>
    <mergeCell ref="J382:AR382"/>
    <mergeCell ref="A345:B345"/>
    <mergeCell ref="J399:AR399"/>
    <mergeCell ref="L303:AR303"/>
    <mergeCell ref="L329:AR329"/>
    <mergeCell ref="L351:AR351"/>
    <mergeCell ref="L367:AR367"/>
    <mergeCell ref="L357:AR357"/>
    <mergeCell ref="J323:AR323"/>
    <mergeCell ref="J380:AR380"/>
    <mergeCell ref="L365:AR365"/>
    <mergeCell ref="L335:AR335"/>
    <mergeCell ref="L211:AR211"/>
    <mergeCell ref="L213:AR213"/>
    <mergeCell ref="AJ252:AR252"/>
    <mergeCell ref="J361:AR361"/>
    <mergeCell ref="J359:AR359"/>
    <mergeCell ref="L217:AR217"/>
    <mergeCell ref="L115:AR115"/>
    <mergeCell ref="AC252:AH252"/>
    <mergeCell ref="L259:AR259"/>
    <mergeCell ref="L185:AR185"/>
    <mergeCell ref="L159:AR159"/>
    <mergeCell ref="L161:AR161"/>
    <mergeCell ref="L145:AR145"/>
    <mergeCell ref="L147:AR147"/>
    <mergeCell ref="L181:AR181"/>
    <mergeCell ref="J187:AR187"/>
    <mergeCell ref="L244:AR244"/>
    <mergeCell ref="L293:AR293"/>
    <mergeCell ref="L301:AR301"/>
    <mergeCell ref="L199:AR199"/>
    <mergeCell ref="J341:AR341"/>
    <mergeCell ref="L297:AR297"/>
    <mergeCell ref="A553:B553"/>
    <mergeCell ref="J437:AR437"/>
    <mergeCell ref="L433:AR433"/>
    <mergeCell ref="L459:AR459"/>
    <mergeCell ref="L469:AR469"/>
    <mergeCell ref="L581:AR581"/>
    <mergeCell ref="L573:AR573"/>
    <mergeCell ref="L555:AR555"/>
    <mergeCell ref="L557:AR557"/>
    <mergeCell ref="O479:AR479"/>
    <mergeCell ref="J551:AR551"/>
    <mergeCell ref="J567:AR567"/>
    <mergeCell ref="L577:AR577"/>
    <mergeCell ref="J565:AR565"/>
    <mergeCell ref="L563:AR563"/>
    <mergeCell ref="L544:AR545"/>
    <mergeCell ref="L547:AR547"/>
    <mergeCell ref="J491:AR491"/>
    <mergeCell ref="A439:B439"/>
    <mergeCell ref="A457:B457"/>
    <mergeCell ref="J549:AR549"/>
    <mergeCell ref="L542:AR542"/>
    <mergeCell ref="Q536:AR536"/>
    <mergeCell ref="A587:AR587"/>
    <mergeCell ref="AJ589:AR589"/>
    <mergeCell ref="J619:AR619"/>
    <mergeCell ref="J638:AR638"/>
    <mergeCell ref="L559:AR559"/>
    <mergeCell ref="L561:AR561"/>
    <mergeCell ref="L596:AR600"/>
    <mergeCell ref="L602:AR606"/>
    <mergeCell ref="A569:B569"/>
    <mergeCell ref="A591:B591"/>
    <mergeCell ref="AC588:AH588"/>
    <mergeCell ref="L708:AR708"/>
    <mergeCell ref="L706:AR706"/>
    <mergeCell ref="A515:B515"/>
    <mergeCell ref="L656:AR656"/>
    <mergeCell ref="A535:B535"/>
    <mergeCell ref="J585:AR585"/>
    <mergeCell ref="A640:AR640"/>
    <mergeCell ref="J680:AR680"/>
    <mergeCell ref="L652:AR652"/>
    <mergeCell ref="AJ641:AR641"/>
    <mergeCell ref="L623:AR623"/>
    <mergeCell ref="L626:AR626"/>
    <mergeCell ref="AJ642:AR642"/>
    <mergeCell ref="L654:AR654"/>
    <mergeCell ref="A698:B698"/>
    <mergeCell ref="A664:B664"/>
    <mergeCell ref="A621:B621"/>
    <mergeCell ref="A644:B644"/>
    <mergeCell ref="L628:AR629"/>
    <mergeCell ref="L631:AR632"/>
    <mergeCell ref="L538:AR538"/>
    <mergeCell ref="L540:AR540"/>
    <mergeCell ref="AC641:AH641"/>
    <mergeCell ref="L610:AR611"/>
    <mergeCell ref="J712:AR712"/>
    <mergeCell ref="J662:AR662"/>
    <mergeCell ref="J728:AR728"/>
    <mergeCell ref="J636:AR636"/>
    <mergeCell ref="J660:AR660"/>
    <mergeCell ref="L670:AR670"/>
    <mergeCell ref="J694:AR694"/>
    <mergeCell ref="L700:AR700"/>
    <mergeCell ref="L702:AR702"/>
    <mergeCell ref="L704:AR704"/>
    <mergeCell ref="L672:AR672"/>
    <mergeCell ref="L674:AR674"/>
    <mergeCell ref="L724:AR724"/>
    <mergeCell ref="J726:AR726"/>
    <mergeCell ref="L716:AR716"/>
    <mergeCell ref="L718:AR718"/>
    <mergeCell ref="L720:AR720"/>
    <mergeCell ref="L722:AR722"/>
    <mergeCell ref="L684:AR684"/>
    <mergeCell ref="L692:AR692"/>
    <mergeCell ref="J710:AR710"/>
    <mergeCell ref="J696:AR696"/>
    <mergeCell ref="L690:AR690"/>
    <mergeCell ref="L686:AR686"/>
    <mergeCell ref="L499:AR499"/>
    <mergeCell ref="L501:AR501"/>
    <mergeCell ref="L465:AR465"/>
    <mergeCell ref="L461:AR461"/>
    <mergeCell ref="L688:AR688"/>
    <mergeCell ref="A682:B682"/>
    <mergeCell ref="L519:AR520"/>
    <mergeCell ref="L529:AR529"/>
    <mergeCell ref="L522:AR523"/>
    <mergeCell ref="J583:AR583"/>
    <mergeCell ref="L593:AR594"/>
    <mergeCell ref="L579:AR579"/>
    <mergeCell ref="L575:AR575"/>
    <mergeCell ref="L658:AR658"/>
    <mergeCell ref="L676:AR676"/>
    <mergeCell ref="J678:AR678"/>
    <mergeCell ref="L668:AR668"/>
    <mergeCell ref="J617:AR617"/>
    <mergeCell ref="L634:AR634"/>
    <mergeCell ref="L615:AR615"/>
    <mergeCell ref="L648:AR650"/>
    <mergeCell ref="L608:AR608"/>
    <mergeCell ref="AJ588:AR588"/>
    <mergeCell ref="L571:AR571"/>
    <mergeCell ref="L231:AR231"/>
    <mergeCell ref="J246:AR246"/>
    <mergeCell ref="L111:AR111"/>
    <mergeCell ref="L113:AR113"/>
    <mergeCell ref="J223:AR223"/>
    <mergeCell ref="L175:AR175"/>
    <mergeCell ref="L177:AR177"/>
    <mergeCell ref="L179:AR179"/>
    <mergeCell ref="J171:AR171"/>
    <mergeCell ref="J189:AR189"/>
    <mergeCell ref="L183:AR183"/>
    <mergeCell ref="L163:AR163"/>
    <mergeCell ref="L157:AR157"/>
    <mergeCell ref="L149:AR149"/>
    <mergeCell ref="L133:AR133"/>
    <mergeCell ref="L123:AR123"/>
    <mergeCell ref="L125:AR125"/>
    <mergeCell ref="J205:AR205"/>
    <mergeCell ref="L221:AR221"/>
    <mergeCell ref="L229:AR229"/>
    <mergeCell ref="L393:AR393"/>
    <mergeCell ref="L395:AR395"/>
    <mergeCell ref="A475:B475"/>
    <mergeCell ref="A497:B497"/>
    <mergeCell ref="L415:AR415"/>
    <mergeCell ref="O485:AR485"/>
    <mergeCell ref="O487:AR487"/>
    <mergeCell ref="L425:AR425"/>
    <mergeCell ref="J435:AR435"/>
    <mergeCell ref="L441:AR441"/>
    <mergeCell ref="L443:AR443"/>
    <mergeCell ref="L445:AR445"/>
    <mergeCell ref="L431:AR431"/>
    <mergeCell ref="L407:AR407"/>
    <mergeCell ref="L405:AR405"/>
    <mergeCell ref="O477:AR477"/>
    <mergeCell ref="J453:AR453"/>
    <mergeCell ref="J473:AR473"/>
    <mergeCell ref="J471:AR471"/>
    <mergeCell ref="O489:AR489"/>
    <mergeCell ref="O483:AR483"/>
    <mergeCell ref="O481:AR481"/>
    <mergeCell ref="L503:AR503"/>
    <mergeCell ref="L613:AR613"/>
    <mergeCell ref="L517:AR517"/>
    <mergeCell ref="J305:AR305"/>
    <mergeCell ref="L311:AR311"/>
    <mergeCell ref="J307:AR307"/>
    <mergeCell ref="P66:V66"/>
    <mergeCell ref="J137:AR137"/>
    <mergeCell ref="L127:AR129"/>
    <mergeCell ref="L131:AR131"/>
    <mergeCell ref="L165:AR165"/>
    <mergeCell ref="L167:AR167"/>
    <mergeCell ref="J169:AR169"/>
    <mergeCell ref="L197:AR197"/>
    <mergeCell ref="L203:AR203"/>
    <mergeCell ref="L201:AR201"/>
    <mergeCell ref="J83:AR83"/>
    <mergeCell ref="L73:AR73"/>
    <mergeCell ref="L75:AR75"/>
    <mergeCell ref="L77:AR77"/>
    <mergeCell ref="L79:AR79"/>
    <mergeCell ref="L81:AR81"/>
    <mergeCell ref="L89:AR89"/>
    <mergeCell ref="A250:AR250"/>
    <mergeCell ref="X64:AR64"/>
    <mergeCell ref="L93:AR93"/>
    <mergeCell ref="L109:AR109"/>
    <mergeCell ref="L91:AR91"/>
    <mergeCell ref="X62:AR62"/>
    <mergeCell ref="L141:AR141"/>
    <mergeCell ref="L143:AR143"/>
    <mergeCell ref="J153:AR153"/>
    <mergeCell ref="J135:AR135"/>
    <mergeCell ref="J151:AR151"/>
    <mergeCell ref="L95:AR95"/>
    <mergeCell ref="L97:AR97"/>
    <mergeCell ref="L105:AR107"/>
    <mergeCell ref="J99:AR99"/>
    <mergeCell ref="P34:V34"/>
    <mergeCell ref="P46:V46"/>
    <mergeCell ref="P38:V38"/>
    <mergeCell ref="P42:V42"/>
    <mergeCell ref="J117:AR117"/>
    <mergeCell ref="AC69:AH69"/>
    <mergeCell ref="AJ69:AR69"/>
    <mergeCell ref="L195:AR195"/>
    <mergeCell ref="L193:AR193"/>
    <mergeCell ref="X66:AR66"/>
    <mergeCell ref="P50:V50"/>
    <mergeCell ref="A68:AR68"/>
    <mergeCell ref="X58:Y58"/>
    <mergeCell ref="X40:AR40"/>
    <mergeCell ref="AG58:AH58"/>
    <mergeCell ref="AQ58:AR58"/>
    <mergeCell ref="X60:AR60"/>
    <mergeCell ref="P56:V56"/>
    <mergeCell ref="P62:V62"/>
    <mergeCell ref="R58:S58"/>
    <mergeCell ref="J85:AR85"/>
    <mergeCell ref="J101:AR101"/>
    <mergeCell ref="J119:AR119"/>
    <mergeCell ref="P64:V64"/>
    <mergeCell ref="AJ4:AR4"/>
    <mergeCell ref="AG6:AI6"/>
    <mergeCell ref="E44:Y44"/>
    <mergeCell ref="AP44:AR44"/>
    <mergeCell ref="AC4:AE4"/>
    <mergeCell ref="Q12:AB12"/>
    <mergeCell ref="P32:V32"/>
    <mergeCell ref="P40:V40"/>
    <mergeCell ref="Z8:AE8"/>
    <mergeCell ref="AG10:AI10"/>
    <mergeCell ref="C12:N12"/>
    <mergeCell ref="AE12:AR12"/>
    <mergeCell ref="G7:AE7"/>
    <mergeCell ref="AJ7:AR7"/>
    <mergeCell ref="AG8:AI8"/>
    <mergeCell ref="AJ8:AR8"/>
    <mergeCell ref="G9:AE9"/>
    <mergeCell ref="AJ9:AR9"/>
    <mergeCell ref="AJ10:AR10"/>
    <mergeCell ref="AG4:AI4"/>
    <mergeCell ref="G4:AA4"/>
    <mergeCell ref="G6:AE6"/>
    <mergeCell ref="AJ6:AR6"/>
    <mergeCell ref="P36:V36"/>
    <mergeCell ref="B1:AR2"/>
    <mergeCell ref="A26:AR26"/>
    <mergeCell ref="A16:AR16"/>
    <mergeCell ref="C14:R14"/>
    <mergeCell ref="U14:AB14"/>
    <mergeCell ref="AE14:AR14"/>
    <mergeCell ref="X56:AR56"/>
    <mergeCell ref="G8:W8"/>
    <mergeCell ref="G10:J10"/>
    <mergeCell ref="O10:AE10"/>
    <mergeCell ref="AA50:AB50"/>
    <mergeCell ref="AI50:AJ50"/>
    <mergeCell ref="AP50:AQ50"/>
    <mergeCell ref="AE54:AH54"/>
    <mergeCell ref="X32:AR32"/>
    <mergeCell ref="X34:AR34"/>
    <mergeCell ref="X36:AR36"/>
    <mergeCell ref="AN3:AR3"/>
    <mergeCell ref="X46:AR46"/>
    <mergeCell ref="X48:AR48"/>
    <mergeCell ref="P48:V48"/>
    <mergeCell ref="C18:AR18"/>
    <mergeCell ref="X38:AR38"/>
    <mergeCell ref="X42:AR42"/>
  </mergeCells>
  <phoneticPr fontId="2" type="noConversion"/>
  <dataValidations count="6">
    <dataValidation type="list" allowBlank="1" showInputMessage="1" showErrorMessage="1" sqref="P56:V56 P46:V48 P66:V66 P34:V34 P36:V36 P38:V38 P32:V32 P62:V64 P50:V51">
      <formula1>list2a</formula1>
    </dataValidation>
    <dataValidation type="whole" allowBlank="1" showInputMessage="1" showErrorMessage="1" sqref="AG58:AH58 AQ58:AR58">
      <formula1>0</formula1>
      <formula2>50</formula2>
    </dataValidation>
    <dataValidation type="list" allowBlank="1" showInputMessage="1" showErrorMessage="1" sqref="P40:V40">
      <formula1>list3b</formula1>
    </dataValidation>
    <dataValidation type="list" allowBlank="1" showInputMessage="1" showErrorMessage="1" sqref="P42:V42">
      <formula1>list4</formula1>
    </dataValidation>
    <dataValidation type="list" allowBlank="1" showInputMessage="1" showErrorMessage="1" sqref="P39">
      <formula1>list2</formula1>
    </dataValidation>
    <dataValidation type="list" allowBlank="1" showInputMessage="1" showErrorMessage="1" sqref="AE54:AH54">
      <formula1>list80</formula1>
    </dataValidation>
  </dataValidations>
  <hyperlinks>
    <hyperlink ref="C12" location="ARA!A61" display="GO TO ABUSE PREVENTION"/>
    <hyperlink ref="C12:N12" location="abuseprevention" display="GO TO ABUSE PREVENTION"/>
    <hyperlink ref="AE12:AR12" location="transportation" display="GO TO TRANSPORTATION SAFETY"/>
    <hyperlink ref="Q12:AB12" location="aquatics" display="GO TO AQUATIC SAFETY"/>
    <hyperlink ref="AC494:AH494" location="ARA!A1" display="GO TO TOP"/>
    <hyperlink ref="AC588:AH588" location="ARA!A1" display="GO TO TOP"/>
    <hyperlink ref="AC69:AH69" location="ARA!A1" display="GO TO TOP"/>
    <hyperlink ref="AJ253:AR253" location="transportation" display="DOWN ONE SECTION"/>
    <hyperlink ref="AJ69:AR69" location="AquaticSafety" display="DOWN ONE SECTION"/>
    <hyperlink ref="AC2088:AH2088" location="ARA!A1" display="GO TO TOP"/>
    <hyperlink ref="AK2087:AR2087" location="ARA!AS736" display="UP ONE SECTION"/>
    <hyperlink ref="AJ2088:AR2088" location="ARA!AT2379" display="UP ONE FACILITY"/>
    <hyperlink ref="AJ252:AR252" location="abuseprevention" display="UP ONE SECTION"/>
    <hyperlink ref="AJ494:AR494" location="aquatics" display="UP ONE SECTION"/>
    <hyperlink ref="AJ588:AR588" location="transportation" display="UP ONE SECTION"/>
    <hyperlink ref="AC641:AH641" location="ARA!A1" display="GO TO TOP"/>
    <hyperlink ref="AJ641:AR641" location="collaborations" display="UP ONE SECTION"/>
    <hyperlink ref="C14:R14" location="collaborations" display="GO TO COLLABORATIVE AGREEMENTS"/>
    <hyperlink ref="AJ495:AR495" location="collaborations" display="DOWN ONE SECTION"/>
    <hyperlink ref="AJ589:AR589" location="othersection" display="DOWN ONE SECTION"/>
    <hyperlink ref="AJ642:AR642" location="FACILITYLIST" display="DOWN ONE SECTION"/>
    <hyperlink ref="U14:AB14" location="othersection" display="GO TO OTHER"/>
    <hyperlink ref="AE14:AR14" location="FACILITYLIST" display="GO TO FACILITY LIST"/>
    <hyperlink ref="E44:Y44" location="Camping!A1" display="Camping!A1"/>
    <hyperlink ref="AC252:AH252" location="ARA!A1" display="GO TO TOP"/>
    <hyperlink ref="X56:AR56" location="SocialPrograms!A1" display="SocialPrograms!A1"/>
  </hyperlinks>
  <pageMargins left="0.22" right="0.25" top="0.25" bottom="0.5" header="0" footer="0.25"/>
  <pageSetup scale="99" orientation="portrait" horizontalDpi="4294967293"/>
  <headerFooter alignWithMargins="0">
    <oddFooter>&amp;L&amp;8 2009 ARA - ver. 7.0 - 9/30/09&amp;C&amp;8NAME - page &amp;P of &amp;N&amp;R&amp;8document modified on xx/xx/xx</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6336" r:id="rId3" name="Check Box 192">
              <controlPr defaultSize="0" autoFill="0" autoLine="0" autoPict="0">
                <anchor moveWithCells="1">
                  <from>
                    <xdr:col>3</xdr:col>
                    <xdr:colOff>10886</xdr:colOff>
                    <xdr:row>250</xdr:row>
                    <xdr:rowOff>0</xdr:rowOff>
                  </from>
                  <to>
                    <xdr:col>15</xdr:col>
                    <xdr:colOff>141514</xdr:colOff>
                    <xdr:row>251</xdr:row>
                    <xdr:rowOff>76200</xdr:rowOff>
                  </to>
                </anchor>
              </controlPr>
            </control>
          </mc:Choice>
        </mc:AlternateContent>
        <mc:AlternateContent xmlns:mc="http://schemas.openxmlformats.org/markup-compatibility/2006">
          <mc:Choice Requires="x14">
            <control shapeId="6822" r:id="rId4" name="Group Box 678">
              <controlPr defaultSize="0" autoFill="0" autoPict="0">
                <anchor moveWithCells="1">
                  <from>
                    <xdr:col>2</xdr:col>
                    <xdr:colOff>190500</xdr:colOff>
                    <xdr:row>71</xdr:row>
                    <xdr:rowOff>0</xdr:rowOff>
                  </from>
                  <to>
                    <xdr:col>10</xdr:col>
                    <xdr:colOff>114300</xdr:colOff>
                    <xdr:row>81</xdr:row>
                    <xdr:rowOff>0</xdr:rowOff>
                  </to>
                </anchor>
              </controlPr>
            </control>
          </mc:Choice>
        </mc:AlternateContent>
        <mc:AlternateContent xmlns:mc="http://schemas.openxmlformats.org/markup-compatibility/2006">
          <mc:Choice Requires="x14">
            <control shapeId="6823" r:id="rId5" name="Option Button 679">
              <controlPr defaultSize="0" autoFill="0" autoLine="0" autoPict="0">
                <anchor moveWithCells="1">
                  <from>
                    <xdr:col>3</xdr:col>
                    <xdr:colOff>38100</xdr:colOff>
                    <xdr:row>71</xdr:row>
                    <xdr:rowOff>48986</xdr:rowOff>
                  </from>
                  <to>
                    <xdr:col>10</xdr:col>
                    <xdr:colOff>38100</xdr:colOff>
                    <xdr:row>72</xdr:row>
                    <xdr:rowOff>266700</xdr:rowOff>
                  </to>
                </anchor>
              </controlPr>
            </control>
          </mc:Choice>
        </mc:AlternateContent>
        <mc:AlternateContent xmlns:mc="http://schemas.openxmlformats.org/markup-compatibility/2006">
          <mc:Choice Requires="x14">
            <control shapeId="6824" r:id="rId6" name="Option Button 680">
              <controlPr defaultSize="0" autoFill="0" autoLine="0" autoPict="0">
                <anchor moveWithCells="1">
                  <from>
                    <xdr:col>3</xdr:col>
                    <xdr:colOff>38100</xdr:colOff>
                    <xdr:row>73</xdr:row>
                    <xdr:rowOff>65314</xdr:rowOff>
                  </from>
                  <to>
                    <xdr:col>10</xdr:col>
                    <xdr:colOff>38100</xdr:colOff>
                    <xdr:row>74</xdr:row>
                    <xdr:rowOff>277586</xdr:rowOff>
                  </to>
                </anchor>
              </controlPr>
            </control>
          </mc:Choice>
        </mc:AlternateContent>
        <mc:AlternateContent xmlns:mc="http://schemas.openxmlformats.org/markup-compatibility/2006">
          <mc:Choice Requires="x14">
            <control shapeId="6825" r:id="rId7" name="Option Button 681">
              <controlPr defaultSize="0" autoFill="0" autoLine="0" autoPict="0">
                <anchor moveWithCells="1">
                  <from>
                    <xdr:col>3</xdr:col>
                    <xdr:colOff>48986</xdr:colOff>
                    <xdr:row>75</xdr:row>
                    <xdr:rowOff>48986</xdr:rowOff>
                  </from>
                  <to>
                    <xdr:col>10</xdr:col>
                    <xdr:colOff>38100</xdr:colOff>
                    <xdr:row>76</xdr:row>
                    <xdr:rowOff>255814</xdr:rowOff>
                  </to>
                </anchor>
              </controlPr>
            </control>
          </mc:Choice>
        </mc:AlternateContent>
        <mc:AlternateContent xmlns:mc="http://schemas.openxmlformats.org/markup-compatibility/2006">
          <mc:Choice Requires="x14">
            <control shapeId="6826" r:id="rId8" name="Option Button 682">
              <controlPr defaultSize="0" autoFill="0" autoLine="0" autoPict="0">
                <anchor moveWithCells="1">
                  <from>
                    <xdr:col>3</xdr:col>
                    <xdr:colOff>38100</xdr:colOff>
                    <xdr:row>77</xdr:row>
                    <xdr:rowOff>48986</xdr:rowOff>
                  </from>
                  <to>
                    <xdr:col>10</xdr:col>
                    <xdr:colOff>27214</xdr:colOff>
                    <xdr:row>79</xdr:row>
                    <xdr:rowOff>10886</xdr:rowOff>
                  </to>
                </anchor>
              </controlPr>
            </control>
          </mc:Choice>
        </mc:AlternateContent>
        <mc:AlternateContent xmlns:mc="http://schemas.openxmlformats.org/markup-compatibility/2006">
          <mc:Choice Requires="x14">
            <control shapeId="6827" r:id="rId9" name="Option Button 683">
              <controlPr defaultSize="0" autoFill="0" autoLine="0" autoPict="0">
                <anchor moveWithCells="1">
                  <from>
                    <xdr:col>3</xdr:col>
                    <xdr:colOff>27214</xdr:colOff>
                    <xdr:row>79</xdr:row>
                    <xdr:rowOff>48986</xdr:rowOff>
                  </from>
                  <to>
                    <xdr:col>9</xdr:col>
                    <xdr:colOff>179614</xdr:colOff>
                    <xdr:row>80</xdr:row>
                    <xdr:rowOff>266700</xdr:rowOff>
                  </to>
                </anchor>
              </controlPr>
            </control>
          </mc:Choice>
        </mc:AlternateContent>
        <mc:AlternateContent xmlns:mc="http://schemas.openxmlformats.org/markup-compatibility/2006">
          <mc:Choice Requires="x14">
            <control shapeId="6828" r:id="rId10" name="Group Box 684">
              <controlPr defaultSize="0" autoFill="0" autoPict="0">
                <anchor moveWithCells="1">
                  <from>
                    <xdr:col>3</xdr:col>
                    <xdr:colOff>0</xdr:colOff>
                    <xdr:row>87</xdr:row>
                    <xdr:rowOff>0</xdr:rowOff>
                  </from>
                  <to>
                    <xdr:col>10</xdr:col>
                    <xdr:colOff>114300</xdr:colOff>
                    <xdr:row>98</xdr:row>
                    <xdr:rowOff>0</xdr:rowOff>
                  </to>
                </anchor>
              </controlPr>
            </control>
          </mc:Choice>
        </mc:AlternateContent>
        <mc:AlternateContent xmlns:mc="http://schemas.openxmlformats.org/markup-compatibility/2006">
          <mc:Choice Requires="x14">
            <control shapeId="6829" r:id="rId11" name="Option Button 685">
              <controlPr defaultSize="0" autoFill="0" autoLine="0" autoPict="0">
                <anchor moveWithCells="1">
                  <from>
                    <xdr:col>3</xdr:col>
                    <xdr:colOff>38100</xdr:colOff>
                    <xdr:row>87</xdr:row>
                    <xdr:rowOff>48986</xdr:rowOff>
                  </from>
                  <to>
                    <xdr:col>10</xdr:col>
                    <xdr:colOff>27214</xdr:colOff>
                    <xdr:row>88</xdr:row>
                    <xdr:rowOff>266700</xdr:rowOff>
                  </to>
                </anchor>
              </controlPr>
            </control>
          </mc:Choice>
        </mc:AlternateContent>
        <mc:AlternateContent xmlns:mc="http://schemas.openxmlformats.org/markup-compatibility/2006">
          <mc:Choice Requires="x14">
            <control shapeId="6830" r:id="rId12" name="Option Button 686">
              <controlPr defaultSize="0" autoFill="0" autoLine="0" autoPict="0">
                <anchor moveWithCells="1">
                  <from>
                    <xdr:col>3</xdr:col>
                    <xdr:colOff>38100</xdr:colOff>
                    <xdr:row>89</xdr:row>
                    <xdr:rowOff>65314</xdr:rowOff>
                  </from>
                  <to>
                    <xdr:col>10</xdr:col>
                    <xdr:colOff>10886</xdr:colOff>
                    <xdr:row>90</xdr:row>
                    <xdr:rowOff>277586</xdr:rowOff>
                  </to>
                </anchor>
              </controlPr>
            </control>
          </mc:Choice>
        </mc:AlternateContent>
        <mc:AlternateContent xmlns:mc="http://schemas.openxmlformats.org/markup-compatibility/2006">
          <mc:Choice Requires="x14">
            <control shapeId="6834" r:id="rId13" name="Group Box 690">
              <controlPr defaultSize="0" autoFill="0" autoPict="0">
                <anchor moveWithCells="1">
                  <from>
                    <xdr:col>3</xdr:col>
                    <xdr:colOff>0</xdr:colOff>
                    <xdr:row>103</xdr:row>
                    <xdr:rowOff>0</xdr:rowOff>
                  </from>
                  <to>
                    <xdr:col>10</xdr:col>
                    <xdr:colOff>125186</xdr:colOff>
                    <xdr:row>116</xdr:row>
                    <xdr:rowOff>0</xdr:rowOff>
                  </to>
                </anchor>
              </controlPr>
            </control>
          </mc:Choice>
        </mc:AlternateContent>
        <mc:AlternateContent xmlns:mc="http://schemas.openxmlformats.org/markup-compatibility/2006">
          <mc:Choice Requires="x14">
            <control shapeId="6835" r:id="rId14" name="Option Button 691">
              <controlPr defaultSize="0" autoFill="0" autoLine="0" autoPict="0">
                <anchor moveWithCells="1">
                  <from>
                    <xdr:col>3</xdr:col>
                    <xdr:colOff>27214</xdr:colOff>
                    <xdr:row>103</xdr:row>
                    <xdr:rowOff>48986</xdr:rowOff>
                  </from>
                  <to>
                    <xdr:col>10</xdr:col>
                    <xdr:colOff>76200</xdr:colOff>
                    <xdr:row>104</xdr:row>
                    <xdr:rowOff>266700</xdr:rowOff>
                  </to>
                </anchor>
              </controlPr>
            </control>
          </mc:Choice>
        </mc:AlternateContent>
        <mc:AlternateContent xmlns:mc="http://schemas.openxmlformats.org/markup-compatibility/2006">
          <mc:Choice Requires="x14">
            <control shapeId="6836" r:id="rId15" name="Option Button 692">
              <controlPr defaultSize="0" autoFill="0" autoLine="0" autoPict="0">
                <anchor moveWithCells="1">
                  <from>
                    <xdr:col>3</xdr:col>
                    <xdr:colOff>38100</xdr:colOff>
                    <xdr:row>107</xdr:row>
                    <xdr:rowOff>38100</xdr:rowOff>
                  </from>
                  <to>
                    <xdr:col>10</xdr:col>
                    <xdr:colOff>38100</xdr:colOff>
                    <xdr:row>108</xdr:row>
                    <xdr:rowOff>255814</xdr:rowOff>
                  </to>
                </anchor>
              </controlPr>
            </control>
          </mc:Choice>
        </mc:AlternateContent>
        <mc:AlternateContent xmlns:mc="http://schemas.openxmlformats.org/markup-compatibility/2006">
          <mc:Choice Requires="x14">
            <control shapeId="6837" r:id="rId16" name="Option Button 693">
              <controlPr defaultSize="0" autoFill="0" autoLine="0" autoPict="0">
                <anchor moveWithCells="1">
                  <from>
                    <xdr:col>3</xdr:col>
                    <xdr:colOff>38100</xdr:colOff>
                    <xdr:row>109</xdr:row>
                    <xdr:rowOff>65314</xdr:rowOff>
                  </from>
                  <to>
                    <xdr:col>10</xdr:col>
                    <xdr:colOff>27214</xdr:colOff>
                    <xdr:row>110</xdr:row>
                    <xdr:rowOff>266700</xdr:rowOff>
                  </to>
                </anchor>
              </controlPr>
            </control>
          </mc:Choice>
        </mc:AlternateContent>
        <mc:AlternateContent xmlns:mc="http://schemas.openxmlformats.org/markup-compatibility/2006">
          <mc:Choice Requires="x14">
            <control shapeId="6838" r:id="rId17" name="Option Button 694">
              <controlPr defaultSize="0" autoFill="0" autoLine="0" autoPict="0">
                <anchor moveWithCells="1">
                  <from>
                    <xdr:col>3</xdr:col>
                    <xdr:colOff>38100</xdr:colOff>
                    <xdr:row>111</xdr:row>
                    <xdr:rowOff>48986</xdr:rowOff>
                  </from>
                  <to>
                    <xdr:col>10</xdr:col>
                    <xdr:colOff>27214</xdr:colOff>
                    <xdr:row>113</xdr:row>
                    <xdr:rowOff>38100</xdr:rowOff>
                  </to>
                </anchor>
              </controlPr>
            </control>
          </mc:Choice>
        </mc:AlternateContent>
        <mc:AlternateContent xmlns:mc="http://schemas.openxmlformats.org/markup-compatibility/2006">
          <mc:Choice Requires="x14">
            <control shapeId="6839" r:id="rId18" name="Option Button 695">
              <controlPr defaultSize="0" autoFill="0" autoLine="0" autoPict="0">
                <anchor moveWithCells="1">
                  <from>
                    <xdr:col>3</xdr:col>
                    <xdr:colOff>38100</xdr:colOff>
                    <xdr:row>113</xdr:row>
                    <xdr:rowOff>38100</xdr:rowOff>
                  </from>
                  <to>
                    <xdr:col>10</xdr:col>
                    <xdr:colOff>103414</xdr:colOff>
                    <xdr:row>115</xdr:row>
                    <xdr:rowOff>27214</xdr:rowOff>
                  </to>
                </anchor>
              </controlPr>
            </control>
          </mc:Choice>
        </mc:AlternateContent>
        <mc:AlternateContent xmlns:mc="http://schemas.openxmlformats.org/markup-compatibility/2006">
          <mc:Choice Requires="x14">
            <control shapeId="6840" r:id="rId19" name="Group Box 696">
              <controlPr defaultSize="0" autoFill="0" autoPict="0">
                <anchor moveWithCells="1">
                  <from>
                    <xdr:col>3</xdr:col>
                    <xdr:colOff>0</xdr:colOff>
                    <xdr:row>121</xdr:row>
                    <xdr:rowOff>0</xdr:rowOff>
                  </from>
                  <to>
                    <xdr:col>10</xdr:col>
                    <xdr:colOff>114300</xdr:colOff>
                    <xdr:row>134</xdr:row>
                    <xdr:rowOff>0</xdr:rowOff>
                  </to>
                </anchor>
              </controlPr>
            </control>
          </mc:Choice>
        </mc:AlternateContent>
        <mc:AlternateContent xmlns:mc="http://schemas.openxmlformats.org/markup-compatibility/2006">
          <mc:Choice Requires="x14">
            <control shapeId="6841" r:id="rId20" name="Option Button 697">
              <controlPr defaultSize="0" autoFill="0" autoLine="0" autoPict="0">
                <anchor moveWithCells="1">
                  <from>
                    <xdr:col>3</xdr:col>
                    <xdr:colOff>38100</xdr:colOff>
                    <xdr:row>121</xdr:row>
                    <xdr:rowOff>48986</xdr:rowOff>
                  </from>
                  <to>
                    <xdr:col>10</xdr:col>
                    <xdr:colOff>48986</xdr:colOff>
                    <xdr:row>122</xdr:row>
                    <xdr:rowOff>266700</xdr:rowOff>
                  </to>
                </anchor>
              </controlPr>
            </control>
          </mc:Choice>
        </mc:AlternateContent>
        <mc:AlternateContent xmlns:mc="http://schemas.openxmlformats.org/markup-compatibility/2006">
          <mc:Choice Requires="x14">
            <control shapeId="6842" r:id="rId21" name="Option Button 698">
              <controlPr defaultSize="0" autoFill="0" autoLine="0" autoPict="0">
                <anchor moveWithCells="1">
                  <from>
                    <xdr:col>3</xdr:col>
                    <xdr:colOff>38100</xdr:colOff>
                    <xdr:row>123</xdr:row>
                    <xdr:rowOff>65314</xdr:rowOff>
                  </from>
                  <to>
                    <xdr:col>10</xdr:col>
                    <xdr:colOff>10886</xdr:colOff>
                    <xdr:row>124</xdr:row>
                    <xdr:rowOff>277586</xdr:rowOff>
                  </to>
                </anchor>
              </controlPr>
            </control>
          </mc:Choice>
        </mc:AlternateContent>
        <mc:AlternateContent xmlns:mc="http://schemas.openxmlformats.org/markup-compatibility/2006">
          <mc:Choice Requires="x14">
            <control shapeId="6843" r:id="rId22" name="Option Button 699">
              <controlPr defaultSize="0" autoFill="0" autoLine="0" autoPict="0">
                <anchor moveWithCells="1">
                  <from>
                    <xdr:col>3</xdr:col>
                    <xdr:colOff>38100</xdr:colOff>
                    <xdr:row>125</xdr:row>
                    <xdr:rowOff>48986</xdr:rowOff>
                  </from>
                  <to>
                    <xdr:col>10</xdr:col>
                    <xdr:colOff>27214</xdr:colOff>
                    <xdr:row>126</xdr:row>
                    <xdr:rowOff>255814</xdr:rowOff>
                  </to>
                </anchor>
              </controlPr>
            </control>
          </mc:Choice>
        </mc:AlternateContent>
        <mc:AlternateContent xmlns:mc="http://schemas.openxmlformats.org/markup-compatibility/2006">
          <mc:Choice Requires="x14">
            <control shapeId="6844" r:id="rId23" name="Option Button 700">
              <controlPr defaultSize="0" autoFill="0" autoLine="0" autoPict="0">
                <anchor moveWithCells="1">
                  <from>
                    <xdr:col>3</xdr:col>
                    <xdr:colOff>48986</xdr:colOff>
                    <xdr:row>129</xdr:row>
                    <xdr:rowOff>38100</xdr:rowOff>
                  </from>
                  <to>
                    <xdr:col>10</xdr:col>
                    <xdr:colOff>38100</xdr:colOff>
                    <xdr:row>130</xdr:row>
                    <xdr:rowOff>255814</xdr:rowOff>
                  </to>
                </anchor>
              </controlPr>
            </control>
          </mc:Choice>
        </mc:AlternateContent>
        <mc:AlternateContent xmlns:mc="http://schemas.openxmlformats.org/markup-compatibility/2006">
          <mc:Choice Requires="x14">
            <control shapeId="6845" r:id="rId24" name="Option Button 701">
              <controlPr defaultSize="0" autoFill="0" autoLine="0" autoPict="0">
                <anchor moveWithCells="1">
                  <from>
                    <xdr:col>3</xdr:col>
                    <xdr:colOff>48986</xdr:colOff>
                    <xdr:row>131</xdr:row>
                    <xdr:rowOff>38100</xdr:rowOff>
                  </from>
                  <to>
                    <xdr:col>9</xdr:col>
                    <xdr:colOff>152400</xdr:colOff>
                    <xdr:row>133</xdr:row>
                    <xdr:rowOff>27214</xdr:rowOff>
                  </to>
                </anchor>
              </controlPr>
            </control>
          </mc:Choice>
        </mc:AlternateContent>
        <mc:AlternateContent xmlns:mc="http://schemas.openxmlformats.org/markup-compatibility/2006">
          <mc:Choice Requires="x14">
            <control shapeId="6846" r:id="rId25" name="Group Box 702">
              <controlPr defaultSize="0" autoFill="0" autoPict="0">
                <anchor moveWithCells="1">
                  <from>
                    <xdr:col>3</xdr:col>
                    <xdr:colOff>0</xdr:colOff>
                    <xdr:row>139</xdr:row>
                    <xdr:rowOff>0</xdr:rowOff>
                  </from>
                  <to>
                    <xdr:col>10</xdr:col>
                    <xdr:colOff>103414</xdr:colOff>
                    <xdr:row>149</xdr:row>
                    <xdr:rowOff>65314</xdr:rowOff>
                  </to>
                </anchor>
              </controlPr>
            </control>
          </mc:Choice>
        </mc:AlternateContent>
        <mc:AlternateContent xmlns:mc="http://schemas.openxmlformats.org/markup-compatibility/2006">
          <mc:Choice Requires="x14">
            <control shapeId="6847" r:id="rId26" name="Option Button 703">
              <controlPr defaultSize="0" autoFill="0" autoLine="0" autoPict="0">
                <anchor moveWithCells="1">
                  <from>
                    <xdr:col>3</xdr:col>
                    <xdr:colOff>27214</xdr:colOff>
                    <xdr:row>139</xdr:row>
                    <xdr:rowOff>48986</xdr:rowOff>
                  </from>
                  <to>
                    <xdr:col>10</xdr:col>
                    <xdr:colOff>0</xdr:colOff>
                    <xdr:row>140</xdr:row>
                    <xdr:rowOff>266700</xdr:rowOff>
                  </to>
                </anchor>
              </controlPr>
            </control>
          </mc:Choice>
        </mc:AlternateContent>
        <mc:AlternateContent xmlns:mc="http://schemas.openxmlformats.org/markup-compatibility/2006">
          <mc:Choice Requires="x14">
            <control shapeId="6848" r:id="rId27" name="Option Button 704">
              <controlPr defaultSize="0" autoFill="0" autoLine="0" autoPict="0">
                <anchor moveWithCells="1">
                  <from>
                    <xdr:col>3</xdr:col>
                    <xdr:colOff>38100</xdr:colOff>
                    <xdr:row>141</xdr:row>
                    <xdr:rowOff>65314</xdr:rowOff>
                  </from>
                  <to>
                    <xdr:col>10</xdr:col>
                    <xdr:colOff>0</xdr:colOff>
                    <xdr:row>142</xdr:row>
                    <xdr:rowOff>277586</xdr:rowOff>
                  </to>
                </anchor>
              </controlPr>
            </control>
          </mc:Choice>
        </mc:AlternateContent>
        <mc:AlternateContent xmlns:mc="http://schemas.openxmlformats.org/markup-compatibility/2006">
          <mc:Choice Requires="x14">
            <control shapeId="6849" r:id="rId28" name="Option Button 705">
              <controlPr defaultSize="0" autoFill="0" autoLine="0" autoPict="0">
                <anchor moveWithCells="1">
                  <from>
                    <xdr:col>3</xdr:col>
                    <xdr:colOff>48986</xdr:colOff>
                    <xdr:row>143</xdr:row>
                    <xdr:rowOff>48986</xdr:rowOff>
                  </from>
                  <to>
                    <xdr:col>10</xdr:col>
                    <xdr:colOff>38100</xdr:colOff>
                    <xdr:row>144</xdr:row>
                    <xdr:rowOff>255814</xdr:rowOff>
                  </to>
                </anchor>
              </controlPr>
            </control>
          </mc:Choice>
        </mc:AlternateContent>
        <mc:AlternateContent xmlns:mc="http://schemas.openxmlformats.org/markup-compatibility/2006">
          <mc:Choice Requires="x14">
            <control shapeId="6859" r:id="rId29" name="Group Box 715">
              <controlPr defaultSize="0" autoFill="0" autoPict="0">
                <anchor moveWithCells="1">
                  <from>
                    <xdr:col>3</xdr:col>
                    <xdr:colOff>0</xdr:colOff>
                    <xdr:row>155</xdr:row>
                    <xdr:rowOff>0</xdr:rowOff>
                  </from>
                  <to>
                    <xdr:col>10</xdr:col>
                    <xdr:colOff>125186</xdr:colOff>
                    <xdr:row>168</xdr:row>
                    <xdr:rowOff>0</xdr:rowOff>
                  </to>
                </anchor>
              </controlPr>
            </control>
          </mc:Choice>
        </mc:AlternateContent>
        <mc:AlternateContent xmlns:mc="http://schemas.openxmlformats.org/markup-compatibility/2006">
          <mc:Choice Requires="x14">
            <control shapeId="6860" r:id="rId30" name="Option Button 716">
              <controlPr defaultSize="0" autoFill="0" autoLine="0" autoPict="0">
                <anchor moveWithCells="1">
                  <from>
                    <xdr:col>3</xdr:col>
                    <xdr:colOff>38100</xdr:colOff>
                    <xdr:row>157</xdr:row>
                    <xdr:rowOff>48986</xdr:rowOff>
                  </from>
                  <to>
                    <xdr:col>10</xdr:col>
                    <xdr:colOff>27214</xdr:colOff>
                    <xdr:row>159</xdr:row>
                    <xdr:rowOff>48986</xdr:rowOff>
                  </to>
                </anchor>
              </controlPr>
            </control>
          </mc:Choice>
        </mc:AlternateContent>
        <mc:AlternateContent xmlns:mc="http://schemas.openxmlformats.org/markup-compatibility/2006">
          <mc:Choice Requires="x14">
            <control shapeId="6861" r:id="rId31" name="Option Button 717">
              <controlPr defaultSize="0" autoFill="0" autoLine="0" autoPict="0">
                <anchor moveWithCells="1">
                  <from>
                    <xdr:col>3</xdr:col>
                    <xdr:colOff>38100</xdr:colOff>
                    <xdr:row>159</xdr:row>
                    <xdr:rowOff>27214</xdr:rowOff>
                  </from>
                  <to>
                    <xdr:col>10</xdr:col>
                    <xdr:colOff>48986</xdr:colOff>
                    <xdr:row>160</xdr:row>
                    <xdr:rowOff>255814</xdr:rowOff>
                  </to>
                </anchor>
              </controlPr>
            </control>
          </mc:Choice>
        </mc:AlternateContent>
        <mc:AlternateContent xmlns:mc="http://schemas.openxmlformats.org/markup-compatibility/2006">
          <mc:Choice Requires="x14">
            <control shapeId="6862" r:id="rId32" name="Option Button 718">
              <controlPr defaultSize="0" autoFill="0" autoLine="0" autoPict="0">
                <anchor moveWithCells="1">
                  <from>
                    <xdr:col>3</xdr:col>
                    <xdr:colOff>38100</xdr:colOff>
                    <xdr:row>161</xdr:row>
                    <xdr:rowOff>48986</xdr:rowOff>
                  </from>
                  <to>
                    <xdr:col>10</xdr:col>
                    <xdr:colOff>27214</xdr:colOff>
                    <xdr:row>163</xdr:row>
                    <xdr:rowOff>0</xdr:rowOff>
                  </to>
                </anchor>
              </controlPr>
            </control>
          </mc:Choice>
        </mc:AlternateContent>
        <mc:AlternateContent xmlns:mc="http://schemas.openxmlformats.org/markup-compatibility/2006">
          <mc:Choice Requires="x14">
            <control shapeId="6863" r:id="rId33" name="Option Button 719">
              <controlPr defaultSize="0" autoFill="0" autoLine="0" autoPict="0">
                <anchor moveWithCells="1">
                  <from>
                    <xdr:col>3</xdr:col>
                    <xdr:colOff>38100</xdr:colOff>
                    <xdr:row>163</xdr:row>
                    <xdr:rowOff>48986</xdr:rowOff>
                  </from>
                  <to>
                    <xdr:col>10</xdr:col>
                    <xdr:colOff>27214</xdr:colOff>
                    <xdr:row>165</xdr:row>
                    <xdr:rowOff>48986</xdr:rowOff>
                  </to>
                </anchor>
              </controlPr>
            </control>
          </mc:Choice>
        </mc:AlternateContent>
        <mc:AlternateContent xmlns:mc="http://schemas.openxmlformats.org/markup-compatibility/2006">
          <mc:Choice Requires="x14">
            <control shapeId="6864" r:id="rId34" name="Option Button 720">
              <controlPr defaultSize="0" autoFill="0" autoLine="0" autoPict="0">
                <anchor moveWithCells="1">
                  <from>
                    <xdr:col>3</xdr:col>
                    <xdr:colOff>38100</xdr:colOff>
                    <xdr:row>165</xdr:row>
                    <xdr:rowOff>38100</xdr:rowOff>
                  </from>
                  <to>
                    <xdr:col>10</xdr:col>
                    <xdr:colOff>10886</xdr:colOff>
                    <xdr:row>167</xdr:row>
                    <xdr:rowOff>48986</xdr:rowOff>
                  </to>
                </anchor>
              </controlPr>
            </control>
          </mc:Choice>
        </mc:AlternateContent>
        <mc:AlternateContent xmlns:mc="http://schemas.openxmlformats.org/markup-compatibility/2006">
          <mc:Choice Requires="x14">
            <control shapeId="6865" r:id="rId35" name="Option Button 721">
              <controlPr defaultSize="0" autoFill="0" autoLine="0" autoPict="0">
                <anchor moveWithCells="1">
                  <from>
                    <xdr:col>3</xdr:col>
                    <xdr:colOff>27214</xdr:colOff>
                    <xdr:row>155</xdr:row>
                    <xdr:rowOff>48986</xdr:rowOff>
                  </from>
                  <to>
                    <xdr:col>10</xdr:col>
                    <xdr:colOff>48986</xdr:colOff>
                    <xdr:row>157</xdr:row>
                    <xdr:rowOff>38100</xdr:rowOff>
                  </to>
                </anchor>
              </controlPr>
            </control>
          </mc:Choice>
        </mc:AlternateContent>
        <mc:AlternateContent xmlns:mc="http://schemas.openxmlformats.org/markup-compatibility/2006">
          <mc:Choice Requires="x14">
            <control shapeId="6866" r:id="rId36" name="Group Box 722">
              <controlPr defaultSize="0" autoFill="0" autoPict="0">
                <anchor moveWithCells="1">
                  <from>
                    <xdr:col>3</xdr:col>
                    <xdr:colOff>0</xdr:colOff>
                    <xdr:row>191</xdr:row>
                    <xdr:rowOff>0</xdr:rowOff>
                  </from>
                  <to>
                    <xdr:col>10</xdr:col>
                    <xdr:colOff>103414</xdr:colOff>
                    <xdr:row>204</xdr:row>
                    <xdr:rowOff>0</xdr:rowOff>
                  </to>
                </anchor>
              </controlPr>
            </control>
          </mc:Choice>
        </mc:AlternateContent>
        <mc:AlternateContent xmlns:mc="http://schemas.openxmlformats.org/markup-compatibility/2006">
          <mc:Choice Requires="x14">
            <control shapeId="6867" r:id="rId37" name="Option Button 723">
              <controlPr defaultSize="0" autoFill="0" autoLine="0" autoPict="0">
                <anchor moveWithCells="1">
                  <from>
                    <xdr:col>3</xdr:col>
                    <xdr:colOff>38100</xdr:colOff>
                    <xdr:row>193</xdr:row>
                    <xdr:rowOff>48986</xdr:rowOff>
                  </from>
                  <to>
                    <xdr:col>10</xdr:col>
                    <xdr:colOff>48986</xdr:colOff>
                    <xdr:row>194</xdr:row>
                    <xdr:rowOff>266700</xdr:rowOff>
                  </to>
                </anchor>
              </controlPr>
            </control>
          </mc:Choice>
        </mc:AlternateContent>
        <mc:AlternateContent xmlns:mc="http://schemas.openxmlformats.org/markup-compatibility/2006">
          <mc:Choice Requires="x14">
            <control shapeId="6868" r:id="rId38" name="Option Button 724">
              <controlPr defaultSize="0" autoFill="0" autoLine="0" autoPict="0">
                <anchor moveWithCells="1">
                  <from>
                    <xdr:col>3</xdr:col>
                    <xdr:colOff>38100</xdr:colOff>
                    <xdr:row>195</xdr:row>
                    <xdr:rowOff>27214</xdr:rowOff>
                  </from>
                  <to>
                    <xdr:col>10</xdr:col>
                    <xdr:colOff>0</xdr:colOff>
                    <xdr:row>196</xdr:row>
                    <xdr:rowOff>255814</xdr:rowOff>
                  </to>
                </anchor>
              </controlPr>
            </control>
          </mc:Choice>
        </mc:AlternateContent>
        <mc:AlternateContent xmlns:mc="http://schemas.openxmlformats.org/markup-compatibility/2006">
          <mc:Choice Requires="x14">
            <control shapeId="6869" r:id="rId39" name="Option Button 725">
              <controlPr defaultSize="0" autoFill="0" autoLine="0" autoPict="0">
                <anchor moveWithCells="1">
                  <from>
                    <xdr:col>3</xdr:col>
                    <xdr:colOff>38100</xdr:colOff>
                    <xdr:row>197</xdr:row>
                    <xdr:rowOff>48986</xdr:rowOff>
                  </from>
                  <to>
                    <xdr:col>10</xdr:col>
                    <xdr:colOff>27214</xdr:colOff>
                    <xdr:row>198</xdr:row>
                    <xdr:rowOff>266700</xdr:rowOff>
                  </to>
                </anchor>
              </controlPr>
            </control>
          </mc:Choice>
        </mc:AlternateContent>
        <mc:AlternateContent xmlns:mc="http://schemas.openxmlformats.org/markup-compatibility/2006">
          <mc:Choice Requires="x14">
            <control shapeId="6870" r:id="rId40" name="Option Button 726">
              <controlPr defaultSize="0" autoFill="0" autoLine="0" autoPict="0">
                <anchor moveWithCells="1">
                  <from>
                    <xdr:col>3</xdr:col>
                    <xdr:colOff>38100</xdr:colOff>
                    <xdr:row>199</xdr:row>
                    <xdr:rowOff>48986</xdr:rowOff>
                  </from>
                  <to>
                    <xdr:col>10</xdr:col>
                    <xdr:colOff>27214</xdr:colOff>
                    <xdr:row>200</xdr:row>
                    <xdr:rowOff>277586</xdr:rowOff>
                  </to>
                </anchor>
              </controlPr>
            </control>
          </mc:Choice>
        </mc:AlternateContent>
        <mc:AlternateContent xmlns:mc="http://schemas.openxmlformats.org/markup-compatibility/2006">
          <mc:Choice Requires="x14">
            <control shapeId="6871" r:id="rId41" name="Option Button 727">
              <controlPr defaultSize="0" autoFill="0" autoLine="0" autoPict="0">
                <anchor moveWithCells="1">
                  <from>
                    <xdr:col>3</xdr:col>
                    <xdr:colOff>38100</xdr:colOff>
                    <xdr:row>201</xdr:row>
                    <xdr:rowOff>10886</xdr:rowOff>
                  </from>
                  <to>
                    <xdr:col>9</xdr:col>
                    <xdr:colOff>190500</xdr:colOff>
                    <xdr:row>203</xdr:row>
                    <xdr:rowOff>27214</xdr:rowOff>
                  </to>
                </anchor>
              </controlPr>
            </control>
          </mc:Choice>
        </mc:AlternateContent>
        <mc:AlternateContent xmlns:mc="http://schemas.openxmlformats.org/markup-compatibility/2006">
          <mc:Choice Requires="x14">
            <control shapeId="6872" r:id="rId42" name="Option Button 728">
              <controlPr defaultSize="0" autoFill="0" autoLine="0" autoPict="0">
                <anchor moveWithCells="1">
                  <from>
                    <xdr:col>3</xdr:col>
                    <xdr:colOff>38100</xdr:colOff>
                    <xdr:row>191</xdr:row>
                    <xdr:rowOff>48986</xdr:rowOff>
                  </from>
                  <to>
                    <xdr:col>9</xdr:col>
                    <xdr:colOff>190500</xdr:colOff>
                    <xdr:row>193</xdr:row>
                    <xdr:rowOff>38100</xdr:rowOff>
                  </to>
                </anchor>
              </controlPr>
            </control>
          </mc:Choice>
        </mc:AlternateContent>
        <mc:AlternateContent xmlns:mc="http://schemas.openxmlformats.org/markup-compatibility/2006">
          <mc:Choice Requires="x14">
            <control shapeId="6873" r:id="rId43" name="Group Box 729">
              <controlPr defaultSize="0" autoFill="0" autoPict="0">
                <anchor moveWithCells="1">
                  <from>
                    <xdr:col>3</xdr:col>
                    <xdr:colOff>0</xdr:colOff>
                    <xdr:row>209</xdr:row>
                    <xdr:rowOff>0</xdr:rowOff>
                  </from>
                  <to>
                    <xdr:col>10</xdr:col>
                    <xdr:colOff>125186</xdr:colOff>
                    <xdr:row>222</xdr:row>
                    <xdr:rowOff>0</xdr:rowOff>
                  </to>
                </anchor>
              </controlPr>
            </control>
          </mc:Choice>
        </mc:AlternateContent>
        <mc:AlternateContent xmlns:mc="http://schemas.openxmlformats.org/markup-compatibility/2006">
          <mc:Choice Requires="x14">
            <control shapeId="6874" r:id="rId44" name="Option Button 730">
              <controlPr defaultSize="0" autoFill="0" autoLine="0" autoPict="0">
                <anchor moveWithCells="1">
                  <from>
                    <xdr:col>3</xdr:col>
                    <xdr:colOff>38100</xdr:colOff>
                    <xdr:row>211</xdr:row>
                    <xdr:rowOff>48986</xdr:rowOff>
                  </from>
                  <to>
                    <xdr:col>10</xdr:col>
                    <xdr:colOff>0</xdr:colOff>
                    <xdr:row>212</xdr:row>
                    <xdr:rowOff>266700</xdr:rowOff>
                  </to>
                </anchor>
              </controlPr>
            </control>
          </mc:Choice>
        </mc:AlternateContent>
        <mc:AlternateContent xmlns:mc="http://schemas.openxmlformats.org/markup-compatibility/2006">
          <mc:Choice Requires="x14">
            <control shapeId="6875" r:id="rId45" name="Option Button 731">
              <controlPr defaultSize="0" autoFill="0" autoLine="0" autoPict="0">
                <anchor moveWithCells="1">
                  <from>
                    <xdr:col>3</xdr:col>
                    <xdr:colOff>27214</xdr:colOff>
                    <xdr:row>213</xdr:row>
                    <xdr:rowOff>38100</xdr:rowOff>
                  </from>
                  <to>
                    <xdr:col>10</xdr:col>
                    <xdr:colOff>0</xdr:colOff>
                    <xdr:row>214</xdr:row>
                    <xdr:rowOff>266700</xdr:rowOff>
                  </to>
                </anchor>
              </controlPr>
            </control>
          </mc:Choice>
        </mc:AlternateContent>
        <mc:AlternateContent xmlns:mc="http://schemas.openxmlformats.org/markup-compatibility/2006">
          <mc:Choice Requires="x14">
            <control shapeId="6876" r:id="rId46" name="Option Button 732">
              <controlPr defaultSize="0" autoFill="0" autoLine="0" autoPict="0">
                <anchor moveWithCells="1">
                  <from>
                    <xdr:col>3</xdr:col>
                    <xdr:colOff>38100</xdr:colOff>
                    <xdr:row>215</xdr:row>
                    <xdr:rowOff>48986</xdr:rowOff>
                  </from>
                  <to>
                    <xdr:col>10</xdr:col>
                    <xdr:colOff>27214</xdr:colOff>
                    <xdr:row>216</xdr:row>
                    <xdr:rowOff>266700</xdr:rowOff>
                  </to>
                </anchor>
              </controlPr>
            </control>
          </mc:Choice>
        </mc:AlternateContent>
        <mc:AlternateContent xmlns:mc="http://schemas.openxmlformats.org/markup-compatibility/2006">
          <mc:Choice Requires="x14">
            <control shapeId="6877" r:id="rId47" name="Option Button 733">
              <controlPr defaultSize="0" autoFill="0" autoLine="0" autoPict="0">
                <anchor moveWithCells="1">
                  <from>
                    <xdr:col>3</xdr:col>
                    <xdr:colOff>27214</xdr:colOff>
                    <xdr:row>217</xdr:row>
                    <xdr:rowOff>48986</xdr:rowOff>
                  </from>
                  <to>
                    <xdr:col>10</xdr:col>
                    <xdr:colOff>10886</xdr:colOff>
                    <xdr:row>218</xdr:row>
                    <xdr:rowOff>277586</xdr:rowOff>
                  </to>
                </anchor>
              </controlPr>
            </control>
          </mc:Choice>
        </mc:AlternateContent>
        <mc:AlternateContent xmlns:mc="http://schemas.openxmlformats.org/markup-compatibility/2006">
          <mc:Choice Requires="x14">
            <control shapeId="6878" r:id="rId48" name="Option Button 734">
              <controlPr defaultSize="0" autoFill="0" autoLine="0" autoPict="0">
                <anchor moveWithCells="1">
                  <from>
                    <xdr:col>3</xdr:col>
                    <xdr:colOff>38100</xdr:colOff>
                    <xdr:row>219</xdr:row>
                    <xdr:rowOff>48986</xdr:rowOff>
                  </from>
                  <to>
                    <xdr:col>10</xdr:col>
                    <xdr:colOff>114300</xdr:colOff>
                    <xdr:row>220</xdr:row>
                    <xdr:rowOff>277586</xdr:rowOff>
                  </to>
                </anchor>
              </controlPr>
            </control>
          </mc:Choice>
        </mc:AlternateContent>
        <mc:AlternateContent xmlns:mc="http://schemas.openxmlformats.org/markup-compatibility/2006">
          <mc:Choice Requires="x14">
            <control shapeId="6879" r:id="rId49" name="Option Button 735">
              <controlPr defaultSize="0" autoFill="0" autoLine="0" autoPict="0">
                <anchor moveWithCells="1">
                  <from>
                    <xdr:col>3</xdr:col>
                    <xdr:colOff>27214</xdr:colOff>
                    <xdr:row>209</xdr:row>
                    <xdr:rowOff>48986</xdr:rowOff>
                  </from>
                  <to>
                    <xdr:col>10</xdr:col>
                    <xdr:colOff>10886</xdr:colOff>
                    <xdr:row>210</xdr:row>
                    <xdr:rowOff>266700</xdr:rowOff>
                  </to>
                </anchor>
              </controlPr>
            </control>
          </mc:Choice>
        </mc:AlternateContent>
        <mc:AlternateContent xmlns:mc="http://schemas.openxmlformats.org/markup-compatibility/2006">
          <mc:Choice Requires="x14">
            <control shapeId="6880" r:id="rId50" name="Group Box 736">
              <controlPr defaultSize="0" autoFill="0" autoPict="0">
                <anchor moveWithCells="1">
                  <from>
                    <xdr:col>3</xdr:col>
                    <xdr:colOff>0</xdr:colOff>
                    <xdr:row>227</xdr:row>
                    <xdr:rowOff>0</xdr:rowOff>
                  </from>
                  <to>
                    <xdr:col>10</xdr:col>
                    <xdr:colOff>125186</xdr:colOff>
                    <xdr:row>244</xdr:row>
                    <xdr:rowOff>27214</xdr:rowOff>
                  </to>
                </anchor>
              </controlPr>
            </control>
          </mc:Choice>
        </mc:AlternateContent>
        <mc:AlternateContent xmlns:mc="http://schemas.openxmlformats.org/markup-compatibility/2006">
          <mc:Choice Requires="x14">
            <control shapeId="6881" r:id="rId51" name="Option Button 737">
              <controlPr defaultSize="0" autoFill="0" autoLine="0" autoPict="0">
                <anchor moveWithCells="1">
                  <from>
                    <xdr:col>3</xdr:col>
                    <xdr:colOff>27214</xdr:colOff>
                    <xdr:row>229</xdr:row>
                    <xdr:rowOff>48986</xdr:rowOff>
                  </from>
                  <to>
                    <xdr:col>10</xdr:col>
                    <xdr:colOff>10886</xdr:colOff>
                    <xdr:row>230</xdr:row>
                    <xdr:rowOff>266700</xdr:rowOff>
                  </to>
                </anchor>
              </controlPr>
            </control>
          </mc:Choice>
        </mc:AlternateContent>
        <mc:AlternateContent xmlns:mc="http://schemas.openxmlformats.org/markup-compatibility/2006">
          <mc:Choice Requires="x14">
            <control shapeId="6882" r:id="rId52" name="Option Button 738">
              <controlPr defaultSize="0" autoFill="0" autoLine="0" autoPict="0">
                <anchor moveWithCells="1">
                  <from>
                    <xdr:col>3</xdr:col>
                    <xdr:colOff>10886</xdr:colOff>
                    <xdr:row>231</xdr:row>
                    <xdr:rowOff>65314</xdr:rowOff>
                  </from>
                  <to>
                    <xdr:col>10</xdr:col>
                    <xdr:colOff>76200</xdr:colOff>
                    <xdr:row>232</xdr:row>
                    <xdr:rowOff>277586</xdr:rowOff>
                  </to>
                </anchor>
              </controlPr>
            </control>
          </mc:Choice>
        </mc:AlternateContent>
        <mc:AlternateContent xmlns:mc="http://schemas.openxmlformats.org/markup-compatibility/2006">
          <mc:Choice Requires="x14">
            <control shapeId="6883" r:id="rId53" name="Option Button 739">
              <controlPr defaultSize="0" autoFill="0" autoLine="0" autoPict="0">
                <anchor moveWithCells="1">
                  <from>
                    <xdr:col>3</xdr:col>
                    <xdr:colOff>27214</xdr:colOff>
                    <xdr:row>233</xdr:row>
                    <xdr:rowOff>48986</xdr:rowOff>
                  </from>
                  <to>
                    <xdr:col>10</xdr:col>
                    <xdr:colOff>10886</xdr:colOff>
                    <xdr:row>234</xdr:row>
                    <xdr:rowOff>266700</xdr:rowOff>
                  </to>
                </anchor>
              </controlPr>
            </control>
          </mc:Choice>
        </mc:AlternateContent>
        <mc:AlternateContent xmlns:mc="http://schemas.openxmlformats.org/markup-compatibility/2006">
          <mc:Choice Requires="x14">
            <control shapeId="6884" r:id="rId54" name="Option Button 740">
              <controlPr defaultSize="0" autoFill="0" autoLine="0" autoPict="0">
                <anchor moveWithCells="1">
                  <from>
                    <xdr:col>3</xdr:col>
                    <xdr:colOff>27214</xdr:colOff>
                    <xdr:row>238</xdr:row>
                    <xdr:rowOff>38100</xdr:rowOff>
                  </from>
                  <to>
                    <xdr:col>10</xdr:col>
                    <xdr:colOff>10886</xdr:colOff>
                    <xdr:row>239</xdr:row>
                    <xdr:rowOff>266700</xdr:rowOff>
                  </to>
                </anchor>
              </controlPr>
            </control>
          </mc:Choice>
        </mc:AlternateContent>
        <mc:AlternateContent xmlns:mc="http://schemas.openxmlformats.org/markup-compatibility/2006">
          <mc:Choice Requires="x14">
            <control shapeId="6885" r:id="rId55" name="Option Button 741">
              <controlPr defaultSize="0" autoFill="0" autoLine="0" autoPict="0">
                <anchor moveWithCells="1">
                  <from>
                    <xdr:col>3</xdr:col>
                    <xdr:colOff>27214</xdr:colOff>
                    <xdr:row>242</xdr:row>
                    <xdr:rowOff>48986</xdr:rowOff>
                  </from>
                  <to>
                    <xdr:col>10</xdr:col>
                    <xdr:colOff>27214</xdr:colOff>
                    <xdr:row>243</xdr:row>
                    <xdr:rowOff>277586</xdr:rowOff>
                  </to>
                </anchor>
              </controlPr>
            </control>
          </mc:Choice>
        </mc:AlternateContent>
        <mc:AlternateContent xmlns:mc="http://schemas.openxmlformats.org/markup-compatibility/2006">
          <mc:Choice Requires="x14">
            <control shapeId="6886" r:id="rId56" name="Option Button 742">
              <controlPr defaultSize="0" autoFill="0" autoLine="0" autoPict="0">
                <anchor moveWithCells="1">
                  <from>
                    <xdr:col>3</xdr:col>
                    <xdr:colOff>27214</xdr:colOff>
                    <xdr:row>227</xdr:row>
                    <xdr:rowOff>48986</xdr:rowOff>
                  </from>
                  <to>
                    <xdr:col>10</xdr:col>
                    <xdr:colOff>0</xdr:colOff>
                    <xdr:row>228</xdr:row>
                    <xdr:rowOff>266700</xdr:rowOff>
                  </to>
                </anchor>
              </controlPr>
            </control>
          </mc:Choice>
        </mc:AlternateContent>
        <mc:AlternateContent xmlns:mc="http://schemas.openxmlformats.org/markup-compatibility/2006">
          <mc:Choice Requires="x14">
            <control shapeId="6887" r:id="rId57" name="Group Box 743">
              <controlPr defaultSize="0" autoFill="0" autoPict="0">
                <anchor moveWithCells="1">
                  <from>
                    <xdr:col>3</xdr:col>
                    <xdr:colOff>0</xdr:colOff>
                    <xdr:row>173</xdr:row>
                    <xdr:rowOff>0</xdr:rowOff>
                  </from>
                  <to>
                    <xdr:col>10</xdr:col>
                    <xdr:colOff>125186</xdr:colOff>
                    <xdr:row>184</xdr:row>
                    <xdr:rowOff>598714</xdr:rowOff>
                  </to>
                </anchor>
              </controlPr>
            </control>
          </mc:Choice>
        </mc:AlternateContent>
        <mc:AlternateContent xmlns:mc="http://schemas.openxmlformats.org/markup-compatibility/2006">
          <mc:Choice Requires="x14">
            <control shapeId="6888" r:id="rId58" name="Option Button 744">
              <controlPr defaultSize="0" autoFill="0" autoLine="0" autoPict="0">
                <anchor moveWithCells="1">
                  <from>
                    <xdr:col>3</xdr:col>
                    <xdr:colOff>38100</xdr:colOff>
                    <xdr:row>175</xdr:row>
                    <xdr:rowOff>48986</xdr:rowOff>
                  </from>
                  <to>
                    <xdr:col>10</xdr:col>
                    <xdr:colOff>103414</xdr:colOff>
                    <xdr:row>177</xdr:row>
                    <xdr:rowOff>38100</xdr:rowOff>
                  </to>
                </anchor>
              </controlPr>
            </control>
          </mc:Choice>
        </mc:AlternateContent>
        <mc:AlternateContent xmlns:mc="http://schemas.openxmlformats.org/markup-compatibility/2006">
          <mc:Choice Requires="x14">
            <control shapeId="6889" r:id="rId59" name="Option Button 745">
              <controlPr defaultSize="0" autoFill="0" autoLine="0" autoPict="0">
                <anchor moveWithCells="1">
                  <from>
                    <xdr:col>3</xdr:col>
                    <xdr:colOff>38100</xdr:colOff>
                    <xdr:row>177</xdr:row>
                    <xdr:rowOff>48986</xdr:rowOff>
                  </from>
                  <to>
                    <xdr:col>10</xdr:col>
                    <xdr:colOff>48986</xdr:colOff>
                    <xdr:row>178</xdr:row>
                    <xdr:rowOff>277586</xdr:rowOff>
                  </to>
                </anchor>
              </controlPr>
            </control>
          </mc:Choice>
        </mc:AlternateContent>
        <mc:AlternateContent xmlns:mc="http://schemas.openxmlformats.org/markup-compatibility/2006">
          <mc:Choice Requires="x14">
            <control shapeId="6890" r:id="rId60" name="Option Button 746">
              <controlPr defaultSize="0" autoFill="0" autoLine="0" autoPict="0">
                <anchor moveWithCells="1">
                  <from>
                    <xdr:col>3</xdr:col>
                    <xdr:colOff>38100</xdr:colOff>
                    <xdr:row>179</xdr:row>
                    <xdr:rowOff>48986</xdr:rowOff>
                  </from>
                  <to>
                    <xdr:col>10</xdr:col>
                    <xdr:colOff>27214</xdr:colOff>
                    <xdr:row>180</xdr:row>
                    <xdr:rowOff>266700</xdr:rowOff>
                  </to>
                </anchor>
              </controlPr>
            </control>
          </mc:Choice>
        </mc:AlternateContent>
        <mc:AlternateContent xmlns:mc="http://schemas.openxmlformats.org/markup-compatibility/2006">
          <mc:Choice Requires="x14">
            <control shapeId="6891" r:id="rId61" name="Option Button 747">
              <controlPr defaultSize="0" autoFill="0" autoLine="0" autoPict="0">
                <anchor moveWithCells="1">
                  <from>
                    <xdr:col>3</xdr:col>
                    <xdr:colOff>48986</xdr:colOff>
                    <xdr:row>181</xdr:row>
                    <xdr:rowOff>48986</xdr:rowOff>
                  </from>
                  <to>
                    <xdr:col>10</xdr:col>
                    <xdr:colOff>38100</xdr:colOff>
                    <xdr:row>182</xdr:row>
                    <xdr:rowOff>277586</xdr:rowOff>
                  </to>
                </anchor>
              </controlPr>
            </control>
          </mc:Choice>
        </mc:AlternateContent>
        <mc:AlternateContent xmlns:mc="http://schemas.openxmlformats.org/markup-compatibility/2006">
          <mc:Choice Requires="x14">
            <control shapeId="6892" r:id="rId62" name="Option Button 748">
              <controlPr defaultSize="0" autoFill="0" autoLine="0" autoPict="0">
                <anchor moveWithCells="1">
                  <from>
                    <xdr:col>3</xdr:col>
                    <xdr:colOff>48986</xdr:colOff>
                    <xdr:row>183</xdr:row>
                    <xdr:rowOff>48986</xdr:rowOff>
                  </from>
                  <to>
                    <xdr:col>10</xdr:col>
                    <xdr:colOff>38100</xdr:colOff>
                    <xdr:row>184</xdr:row>
                    <xdr:rowOff>277586</xdr:rowOff>
                  </to>
                </anchor>
              </controlPr>
            </control>
          </mc:Choice>
        </mc:AlternateContent>
        <mc:AlternateContent xmlns:mc="http://schemas.openxmlformats.org/markup-compatibility/2006">
          <mc:Choice Requires="x14">
            <control shapeId="6893" r:id="rId63" name="Option Button 749">
              <controlPr defaultSize="0" autoFill="0" autoLine="0" autoPict="0">
                <anchor moveWithCells="1">
                  <from>
                    <xdr:col>3</xdr:col>
                    <xdr:colOff>38100</xdr:colOff>
                    <xdr:row>173</xdr:row>
                    <xdr:rowOff>48986</xdr:rowOff>
                  </from>
                  <to>
                    <xdr:col>10</xdr:col>
                    <xdr:colOff>87086</xdr:colOff>
                    <xdr:row>175</xdr:row>
                    <xdr:rowOff>38100</xdr:rowOff>
                  </to>
                </anchor>
              </controlPr>
            </control>
          </mc:Choice>
        </mc:AlternateContent>
        <mc:AlternateContent xmlns:mc="http://schemas.openxmlformats.org/markup-compatibility/2006">
          <mc:Choice Requires="x14">
            <control shapeId="6922" r:id="rId64" name="Group Box 778">
              <controlPr defaultSize="0" autoFill="0" autoPict="0">
                <anchor moveWithCells="1">
                  <from>
                    <xdr:col>3</xdr:col>
                    <xdr:colOff>0</xdr:colOff>
                    <xdr:row>255</xdr:row>
                    <xdr:rowOff>0</xdr:rowOff>
                  </from>
                  <to>
                    <xdr:col>10</xdr:col>
                    <xdr:colOff>87086</xdr:colOff>
                    <xdr:row>267</xdr:row>
                    <xdr:rowOff>65314</xdr:rowOff>
                  </to>
                </anchor>
              </controlPr>
            </control>
          </mc:Choice>
        </mc:AlternateContent>
        <mc:AlternateContent xmlns:mc="http://schemas.openxmlformats.org/markup-compatibility/2006">
          <mc:Choice Requires="x14">
            <control shapeId="6923" r:id="rId65" name="Option Button 779">
              <controlPr defaultSize="0" autoFill="0" autoLine="0" autoPict="0">
                <anchor moveWithCells="1">
                  <from>
                    <xdr:col>3</xdr:col>
                    <xdr:colOff>38100</xdr:colOff>
                    <xdr:row>257</xdr:row>
                    <xdr:rowOff>48986</xdr:rowOff>
                  </from>
                  <to>
                    <xdr:col>10</xdr:col>
                    <xdr:colOff>65314</xdr:colOff>
                    <xdr:row>258</xdr:row>
                    <xdr:rowOff>266700</xdr:rowOff>
                  </to>
                </anchor>
              </controlPr>
            </control>
          </mc:Choice>
        </mc:AlternateContent>
        <mc:AlternateContent xmlns:mc="http://schemas.openxmlformats.org/markup-compatibility/2006">
          <mc:Choice Requires="x14">
            <control shapeId="6924" r:id="rId66" name="Option Button 780">
              <controlPr defaultSize="0" autoFill="0" autoLine="0" autoPict="0">
                <anchor moveWithCells="1">
                  <from>
                    <xdr:col>3</xdr:col>
                    <xdr:colOff>38100</xdr:colOff>
                    <xdr:row>259</xdr:row>
                    <xdr:rowOff>27214</xdr:rowOff>
                  </from>
                  <to>
                    <xdr:col>10</xdr:col>
                    <xdr:colOff>48986</xdr:colOff>
                    <xdr:row>260</xdr:row>
                    <xdr:rowOff>255814</xdr:rowOff>
                  </to>
                </anchor>
              </controlPr>
            </control>
          </mc:Choice>
        </mc:AlternateContent>
        <mc:AlternateContent xmlns:mc="http://schemas.openxmlformats.org/markup-compatibility/2006">
          <mc:Choice Requires="x14">
            <control shapeId="6925" r:id="rId67" name="Option Button 781">
              <controlPr defaultSize="0" autoFill="0" autoLine="0" autoPict="0">
                <anchor moveWithCells="1">
                  <from>
                    <xdr:col>3</xdr:col>
                    <xdr:colOff>38100</xdr:colOff>
                    <xdr:row>261</xdr:row>
                    <xdr:rowOff>48986</xdr:rowOff>
                  </from>
                  <to>
                    <xdr:col>10</xdr:col>
                    <xdr:colOff>27214</xdr:colOff>
                    <xdr:row>262</xdr:row>
                    <xdr:rowOff>266700</xdr:rowOff>
                  </to>
                </anchor>
              </controlPr>
            </control>
          </mc:Choice>
        </mc:AlternateContent>
        <mc:AlternateContent xmlns:mc="http://schemas.openxmlformats.org/markup-compatibility/2006">
          <mc:Choice Requires="x14">
            <control shapeId="6926" r:id="rId68" name="Option Button 782">
              <controlPr defaultSize="0" autoFill="0" autoLine="0" autoPict="0">
                <anchor moveWithCells="1">
                  <from>
                    <xdr:col>3</xdr:col>
                    <xdr:colOff>38100</xdr:colOff>
                    <xdr:row>263</xdr:row>
                    <xdr:rowOff>48986</xdr:rowOff>
                  </from>
                  <to>
                    <xdr:col>10</xdr:col>
                    <xdr:colOff>27214</xdr:colOff>
                    <xdr:row>264</xdr:row>
                    <xdr:rowOff>277586</xdr:rowOff>
                  </to>
                </anchor>
              </controlPr>
            </control>
          </mc:Choice>
        </mc:AlternateContent>
        <mc:AlternateContent xmlns:mc="http://schemas.openxmlformats.org/markup-compatibility/2006">
          <mc:Choice Requires="x14">
            <control shapeId="6927" r:id="rId69" name="Option Button 783">
              <controlPr defaultSize="0" autoFill="0" autoLine="0" autoPict="0">
                <anchor moveWithCells="1">
                  <from>
                    <xdr:col>3</xdr:col>
                    <xdr:colOff>38100</xdr:colOff>
                    <xdr:row>265</xdr:row>
                    <xdr:rowOff>38100</xdr:rowOff>
                  </from>
                  <to>
                    <xdr:col>10</xdr:col>
                    <xdr:colOff>0</xdr:colOff>
                    <xdr:row>266</xdr:row>
                    <xdr:rowOff>266700</xdr:rowOff>
                  </to>
                </anchor>
              </controlPr>
            </control>
          </mc:Choice>
        </mc:AlternateContent>
        <mc:AlternateContent xmlns:mc="http://schemas.openxmlformats.org/markup-compatibility/2006">
          <mc:Choice Requires="x14">
            <control shapeId="6928" r:id="rId70" name="Option Button 784">
              <controlPr defaultSize="0" autoFill="0" autoLine="0" autoPict="0">
                <anchor moveWithCells="1">
                  <from>
                    <xdr:col>3</xdr:col>
                    <xdr:colOff>48986</xdr:colOff>
                    <xdr:row>255</xdr:row>
                    <xdr:rowOff>48986</xdr:rowOff>
                  </from>
                  <to>
                    <xdr:col>10</xdr:col>
                    <xdr:colOff>65314</xdr:colOff>
                    <xdr:row>256</xdr:row>
                    <xdr:rowOff>266700</xdr:rowOff>
                  </to>
                </anchor>
              </controlPr>
            </control>
          </mc:Choice>
        </mc:AlternateContent>
        <mc:AlternateContent xmlns:mc="http://schemas.openxmlformats.org/markup-compatibility/2006">
          <mc:Choice Requires="x14">
            <control shapeId="6929" r:id="rId71" name="Group Box 785">
              <controlPr defaultSize="0" autoFill="0" autoPict="0">
                <anchor moveWithCells="1">
                  <from>
                    <xdr:col>3</xdr:col>
                    <xdr:colOff>0</xdr:colOff>
                    <xdr:row>273</xdr:row>
                    <xdr:rowOff>10886</xdr:rowOff>
                  </from>
                  <to>
                    <xdr:col>10</xdr:col>
                    <xdr:colOff>125186</xdr:colOff>
                    <xdr:row>284</xdr:row>
                    <xdr:rowOff>391886</xdr:rowOff>
                  </to>
                </anchor>
              </controlPr>
            </control>
          </mc:Choice>
        </mc:AlternateContent>
        <mc:AlternateContent xmlns:mc="http://schemas.openxmlformats.org/markup-compatibility/2006">
          <mc:Choice Requires="x14">
            <control shapeId="6930" r:id="rId72" name="Option Button 786">
              <controlPr defaultSize="0" autoFill="0" autoLine="0" autoPict="0">
                <anchor moveWithCells="1">
                  <from>
                    <xdr:col>3</xdr:col>
                    <xdr:colOff>38100</xdr:colOff>
                    <xdr:row>275</xdr:row>
                    <xdr:rowOff>48986</xdr:rowOff>
                  </from>
                  <to>
                    <xdr:col>10</xdr:col>
                    <xdr:colOff>10886</xdr:colOff>
                    <xdr:row>276</xdr:row>
                    <xdr:rowOff>266700</xdr:rowOff>
                  </to>
                </anchor>
              </controlPr>
            </control>
          </mc:Choice>
        </mc:AlternateContent>
        <mc:AlternateContent xmlns:mc="http://schemas.openxmlformats.org/markup-compatibility/2006">
          <mc:Choice Requires="x14">
            <control shapeId="6931" r:id="rId73" name="Option Button 787">
              <controlPr defaultSize="0" autoFill="0" autoLine="0" autoPict="0">
                <anchor moveWithCells="1">
                  <from>
                    <xdr:col>3</xdr:col>
                    <xdr:colOff>27214</xdr:colOff>
                    <xdr:row>277</xdr:row>
                    <xdr:rowOff>27214</xdr:rowOff>
                  </from>
                  <to>
                    <xdr:col>10</xdr:col>
                    <xdr:colOff>10886</xdr:colOff>
                    <xdr:row>278</xdr:row>
                    <xdr:rowOff>255814</xdr:rowOff>
                  </to>
                </anchor>
              </controlPr>
            </control>
          </mc:Choice>
        </mc:AlternateContent>
        <mc:AlternateContent xmlns:mc="http://schemas.openxmlformats.org/markup-compatibility/2006">
          <mc:Choice Requires="x14">
            <control shapeId="6932" r:id="rId74" name="Option Button 788">
              <controlPr defaultSize="0" autoFill="0" autoLine="0" autoPict="0">
                <anchor moveWithCells="1">
                  <from>
                    <xdr:col>3</xdr:col>
                    <xdr:colOff>38100</xdr:colOff>
                    <xdr:row>279</xdr:row>
                    <xdr:rowOff>48986</xdr:rowOff>
                  </from>
                  <to>
                    <xdr:col>10</xdr:col>
                    <xdr:colOff>27214</xdr:colOff>
                    <xdr:row>280</xdr:row>
                    <xdr:rowOff>266700</xdr:rowOff>
                  </to>
                </anchor>
              </controlPr>
            </control>
          </mc:Choice>
        </mc:AlternateContent>
        <mc:AlternateContent xmlns:mc="http://schemas.openxmlformats.org/markup-compatibility/2006">
          <mc:Choice Requires="x14">
            <control shapeId="6933" r:id="rId75" name="Option Button 789">
              <controlPr defaultSize="0" autoFill="0" autoLine="0" autoPict="0">
                <anchor moveWithCells="1">
                  <from>
                    <xdr:col>3</xdr:col>
                    <xdr:colOff>38100</xdr:colOff>
                    <xdr:row>281</xdr:row>
                    <xdr:rowOff>48986</xdr:rowOff>
                  </from>
                  <to>
                    <xdr:col>10</xdr:col>
                    <xdr:colOff>27214</xdr:colOff>
                    <xdr:row>282</xdr:row>
                    <xdr:rowOff>277586</xdr:rowOff>
                  </to>
                </anchor>
              </controlPr>
            </control>
          </mc:Choice>
        </mc:AlternateContent>
        <mc:AlternateContent xmlns:mc="http://schemas.openxmlformats.org/markup-compatibility/2006">
          <mc:Choice Requires="x14">
            <control shapeId="6934" r:id="rId76" name="Option Button 790">
              <controlPr defaultSize="0" autoFill="0" autoLine="0" autoPict="0">
                <anchor moveWithCells="1">
                  <from>
                    <xdr:col>3</xdr:col>
                    <xdr:colOff>38100</xdr:colOff>
                    <xdr:row>283</xdr:row>
                    <xdr:rowOff>10886</xdr:rowOff>
                  </from>
                  <to>
                    <xdr:col>10</xdr:col>
                    <xdr:colOff>103414</xdr:colOff>
                    <xdr:row>284</xdr:row>
                    <xdr:rowOff>239486</xdr:rowOff>
                  </to>
                </anchor>
              </controlPr>
            </control>
          </mc:Choice>
        </mc:AlternateContent>
        <mc:AlternateContent xmlns:mc="http://schemas.openxmlformats.org/markup-compatibility/2006">
          <mc:Choice Requires="x14">
            <control shapeId="6935" r:id="rId77" name="Option Button 791">
              <controlPr defaultSize="0" autoFill="0" autoLine="0" autoPict="0">
                <anchor moveWithCells="1">
                  <from>
                    <xdr:col>3</xdr:col>
                    <xdr:colOff>27214</xdr:colOff>
                    <xdr:row>273</xdr:row>
                    <xdr:rowOff>48986</xdr:rowOff>
                  </from>
                  <to>
                    <xdr:col>10</xdr:col>
                    <xdr:colOff>27214</xdr:colOff>
                    <xdr:row>274</xdr:row>
                    <xdr:rowOff>266700</xdr:rowOff>
                  </to>
                </anchor>
              </controlPr>
            </control>
          </mc:Choice>
        </mc:AlternateContent>
        <mc:AlternateContent xmlns:mc="http://schemas.openxmlformats.org/markup-compatibility/2006">
          <mc:Choice Requires="x14">
            <control shapeId="6936" r:id="rId78" name="Group Box 792">
              <controlPr defaultSize="0" autoFill="0" autoPict="0">
                <anchor moveWithCells="1">
                  <from>
                    <xdr:col>3</xdr:col>
                    <xdr:colOff>0</xdr:colOff>
                    <xdr:row>291</xdr:row>
                    <xdr:rowOff>0</xdr:rowOff>
                  </from>
                  <to>
                    <xdr:col>10</xdr:col>
                    <xdr:colOff>114300</xdr:colOff>
                    <xdr:row>302</xdr:row>
                    <xdr:rowOff>370114</xdr:rowOff>
                  </to>
                </anchor>
              </controlPr>
            </control>
          </mc:Choice>
        </mc:AlternateContent>
        <mc:AlternateContent xmlns:mc="http://schemas.openxmlformats.org/markup-compatibility/2006">
          <mc:Choice Requires="x14">
            <control shapeId="6937" r:id="rId79" name="Option Button 793">
              <controlPr defaultSize="0" autoFill="0" autoLine="0" autoPict="0">
                <anchor moveWithCells="1">
                  <from>
                    <xdr:col>3</xdr:col>
                    <xdr:colOff>27214</xdr:colOff>
                    <xdr:row>293</xdr:row>
                    <xdr:rowOff>48986</xdr:rowOff>
                  </from>
                  <to>
                    <xdr:col>10</xdr:col>
                    <xdr:colOff>27214</xdr:colOff>
                    <xdr:row>294</xdr:row>
                    <xdr:rowOff>266700</xdr:rowOff>
                  </to>
                </anchor>
              </controlPr>
            </control>
          </mc:Choice>
        </mc:AlternateContent>
        <mc:AlternateContent xmlns:mc="http://schemas.openxmlformats.org/markup-compatibility/2006">
          <mc:Choice Requires="x14">
            <control shapeId="6938" r:id="rId80" name="Option Button 794">
              <controlPr defaultSize="0" autoFill="0" autoLine="0" autoPict="0">
                <anchor moveWithCells="1">
                  <from>
                    <xdr:col>3</xdr:col>
                    <xdr:colOff>27214</xdr:colOff>
                    <xdr:row>295</xdr:row>
                    <xdr:rowOff>27214</xdr:rowOff>
                  </from>
                  <to>
                    <xdr:col>10</xdr:col>
                    <xdr:colOff>38100</xdr:colOff>
                    <xdr:row>296</xdr:row>
                    <xdr:rowOff>255814</xdr:rowOff>
                  </to>
                </anchor>
              </controlPr>
            </control>
          </mc:Choice>
        </mc:AlternateContent>
        <mc:AlternateContent xmlns:mc="http://schemas.openxmlformats.org/markup-compatibility/2006">
          <mc:Choice Requires="x14">
            <control shapeId="6939" r:id="rId81" name="Option Button 795">
              <controlPr defaultSize="0" autoFill="0" autoLine="0" autoPict="0">
                <anchor moveWithCells="1">
                  <from>
                    <xdr:col>3</xdr:col>
                    <xdr:colOff>27214</xdr:colOff>
                    <xdr:row>297</xdr:row>
                    <xdr:rowOff>48986</xdr:rowOff>
                  </from>
                  <to>
                    <xdr:col>10</xdr:col>
                    <xdr:colOff>10886</xdr:colOff>
                    <xdr:row>298</xdr:row>
                    <xdr:rowOff>266700</xdr:rowOff>
                  </to>
                </anchor>
              </controlPr>
            </control>
          </mc:Choice>
        </mc:AlternateContent>
        <mc:AlternateContent xmlns:mc="http://schemas.openxmlformats.org/markup-compatibility/2006">
          <mc:Choice Requires="x14">
            <control shapeId="6940" r:id="rId82" name="Option Button 796">
              <controlPr defaultSize="0" autoFill="0" autoLine="0" autoPict="0">
                <anchor moveWithCells="1">
                  <from>
                    <xdr:col>3</xdr:col>
                    <xdr:colOff>27214</xdr:colOff>
                    <xdr:row>299</xdr:row>
                    <xdr:rowOff>48986</xdr:rowOff>
                  </from>
                  <to>
                    <xdr:col>10</xdr:col>
                    <xdr:colOff>10886</xdr:colOff>
                    <xdr:row>300</xdr:row>
                    <xdr:rowOff>277586</xdr:rowOff>
                  </to>
                </anchor>
              </controlPr>
            </control>
          </mc:Choice>
        </mc:AlternateContent>
        <mc:AlternateContent xmlns:mc="http://schemas.openxmlformats.org/markup-compatibility/2006">
          <mc:Choice Requires="x14">
            <control shapeId="6941" r:id="rId83" name="Option Button 797">
              <controlPr defaultSize="0" autoFill="0" autoLine="0" autoPict="0">
                <anchor moveWithCells="1">
                  <from>
                    <xdr:col>3</xdr:col>
                    <xdr:colOff>27214</xdr:colOff>
                    <xdr:row>301</xdr:row>
                    <xdr:rowOff>10886</xdr:rowOff>
                  </from>
                  <to>
                    <xdr:col>10</xdr:col>
                    <xdr:colOff>103414</xdr:colOff>
                    <xdr:row>302</xdr:row>
                    <xdr:rowOff>239486</xdr:rowOff>
                  </to>
                </anchor>
              </controlPr>
            </control>
          </mc:Choice>
        </mc:AlternateContent>
        <mc:AlternateContent xmlns:mc="http://schemas.openxmlformats.org/markup-compatibility/2006">
          <mc:Choice Requires="x14">
            <control shapeId="6942" r:id="rId84" name="Option Button 798">
              <controlPr defaultSize="0" autoFill="0" autoLine="0" autoPict="0">
                <anchor moveWithCells="1">
                  <from>
                    <xdr:col>3</xdr:col>
                    <xdr:colOff>27214</xdr:colOff>
                    <xdr:row>291</xdr:row>
                    <xdr:rowOff>48986</xdr:rowOff>
                  </from>
                  <to>
                    <xdr:col>10</xdr:col>
                    <xdr:colOff>38100</xdr:colOff>
                    <xdr:row>292</xdr:row>
                    <xdr:rowOff>266700</xdr:rowOff>
                  </to>
                </anchor>
              </controlPr>
            </control>
          </mc:Choice>
        </mc:AlternateContent>
        <mc:AlternateContent xmlns:mc="http://schemas.openxmlformats.org/markup-compatibility/2006">
          <mc:Choice Requires="x14">
            <control shapeId="6943" r:id="rId85" name="Group Box 799">
              <controlPr defaultSize="0" autoFill="0" autoPict="0">
                <anchor moveWithCells="1">
                  <from>
                    <xdr:col>3</xdr:col>
                    <xdr:colOff>0</xdr:colOff>
                    <xdr:row>309</xdr:row>
                    <xdr:rowOff>0</xdr:rowOff>
                  </from>
                  <to>
                    <xdr:col>10</xdr:col>
                    <xdr:colOff>114300</xdr:colOff>
                    <xdr:row>321</xdr:row>
                    <xdr:rowOff>48986</xdr:rowOff>
                  </to>
                </anchor>
              </controlPr>
            </control>
          </mc:Choice>
        </mc:AlternateContent>
        <mc:AlternateContent xmlns:mc="http://schemas.openxmlformats.org/markup-compatibility/2006">
          <mc:Choice Requires="x14">
            <control shapeId="6944" r:id="rId86" name="Option Button 800">
              <controlPr defaultSize="0" autoFill="0" autoLine="0" autoPict="0">
                <anchor moveWithCells="1">
                  <from>
                    <xdr:col>3</xdr:col>
                    <xdr:colOff>27214</xdr:colOff>
                    <xdr:row>311</xdr:row>
                    <xdr:rowOff>48986</xdr:rowOff>
                  </from>
                  <to>
                    <xdr:col>10</xdr:col>
                    <xdr:colOff>27214</xdr:colOff>
                    <xdr:row>312</xdr:row>
                    <xdr:rowOff>266700</xdr:rowOff>
                  </to>
                </anchor>
              </controlPr>
            </control>
          </mc:Choice>
        </mc:AlternateContent>
        <mc:AlternateContent xmlns:mc="http://schemas.openxmlformats.org/markup-compatibility/2006">
          <mc:Choice Requires="x14">
            <control shapeId="6945" r:id="rId87" name="Option Button 801">
              <controlPr defaultSize="0" autoFill="0" autoLine="0" autoPict="0">
                <anchor moveWithCells="1">
                  <from>
                    <xdr:col>3</xdr:col>
                    <xdr:colOff>27214</xdr:colOff>
                    <xdr:row>313</xdr:row>
                    <xdr:rowOff>27214</xdr:rowOff>
                  </from>
                  <to>
                    <xdr:col>9</xdr:col>
                    <xdr:colOff>190500</xdr:colOff>
                    <xdr:row>314</xdr:row>
                    <xdr:rowOff>255814</xdr:rowOff>
                  </to>
                </anchor>
              </controlPr>
            </control>
          </mc:Choice>
        </mc:AlternateContent>
        <mc:AlternateContent xmlns:mc="http://schemas.openxmlformats.org/markup-compatibility/2006">
          <mc:Choice Requires="x14">
            <control shapeId="6946" r:id="rId88" name="Option Button 802">
              <controlPr defaultSize="0" autoFill="0" autoLine="0" autoPict="0">
                <anchor moveWithCells="1">
                  <from>
                    <xdr:col>3</xdr:col>
                    <xdr:colOff>38100</xdr:colOff>
                    <xdr:row>315</xdr:row>
                    <xdr:rowOff>48986</xdr:rowOff>
                  </from>
                  <to>
                    <xdr:col>10</xdr:col>
                    <xdr:colOff>27214</xdr:colOff>
                    <xdr:row>316</xdr:row>
                    <xdr:rowOff>266700</xdr:rowOff>
                  </to>
                </anchor>
              </controlPr>
            </control>
          </mc:Choice>
        </mc:AlternateContent>
        <mc:AlternateContent xmlns:mc="http://schemas.openxmlformats.org/markup-compatibility/2006">
          <mc:Choice Requires="x14">
            <control shapeId="6947" r:id="rId89" name="Option Button 803">
              <controlPr defaultSize="0" autoFill="0" autoLine="0" autoPict="0">
                <anchor moveWithCells="1">
                  <from>
                    <xdr:col>3</xdr:col>
                    <xdr:colOff>38100</xdr:colOff>
                    <xdr:row>317</xdr:row>
                    <xdr:rowOff>48986</xdr:rowOff>
                  </from>
                  <to>
                    <xdr:col>10</xdr:col>
                    <xdr:colOff>27214</xdr:colOff>
                    <xdr:row>318</xdr:row>
                    <xdr:rowOff>277586</xdr:rowOff>
                  </to>
                </anchor>
              </controlPr>
            </control>
          </mc:Choice>
        </mc:AlternateContent>
        <mc:AlternateContent xmlns:mc="http://schemas.openxmlformats.org/markup-compatibility/2006">
          <mc:Choice Requires="x14">
            <control shapeId="6948" r:id="rId90" name="Option Button 804">
              <controlPr defaultSize="0" autoFill="0" autoLine="0" autoPict="0">
                <anchor moveWithCells="1">
                  <from>
                    <xdr:col>3</xdr:col>
                    <xdr:colOff>10886</xdr:colOff>
                    <xdr:row>319</xdr:row>
                    <xdr:rowOff>10886</xdr:rowOff>
                  </from>
                  <to>
                    <xdr:col>9</xdr:col>
                    <xdr:colOff>179614</xdr:colOff>
                    <xdr:row>321</xdr:row>
                    <xdr:rowOff>27214</xdr:rowOff>
                  </to>
                </anchor>
              </controlPr>
            </control>
          </mc:Choice>
        </mc:AlternateContent>
        <mc:AlternateContent xmlns:mc="http://schemas.openxmlformats.org/markup-compatibility/2006">
          <mc:Choice Requires="x14">
            <control shapeId="6949" r:id="rId91" name="Option Button 805">
              <controlPr defaultSize="0" autoFill="0" autoLine="0" autoPict="0">
                <anchor moveWithCells="1">
                  <from>
                    <xdr:col>3</xdr:col>
                    <xdr:colOff>27214</xdr:colOff>
                    <xdr:row>309</xdr:row>
                    <xdr:rowOff>38100</xdr:rowOff>
                  </from>
                  <to>
                    <xdr:col>10</xdr:col>
                    <xdr:colOff>38100</xdr:colOff>
                    <xdr:row>310</xdr:row>
                    <xdr:rowOff>255814</xdr:rowOff>
                  </to>
                </anchor>
              </controlPr>
            </control>
          </mc:Choice>
        </mc:AlternateContent>
        <mc:AlternateContent xmlns:mc="http://schemas.openxmlformats.org/markup-compatibility/2006">
          <mc:Choice Requires="x14">
            <control shapeId="6950" r:id="rId92" name="Group Box 806">
              <controlPr defaultSize="0" autoFill="0" autoPict="0">
                <anchor moveWithCells="1">
                  <from>
                    <xdr:col>3</xdr:col>
                    <xdr:colOff>0</xdr:colOff>
                    <xdr:row>327</xdr:row>
                    <xdr:rowOff>0</xdr:rowOff>
                  </from>
                  <to>
                    <xdr:col>10</xdr:col>
                    <xdr:colOff>103414</xdr:colOff>
                    <xdr:row>338</xdr:row>
                    <xdr:rowOff>391886</xdr:rowOff>
                  </to>
                </anchor>
              </controlPr>
            </control>
          </mc:Choice>
        </mc:AlternateContent>
        <mc:AlternateContent xmlns:mc="http://schemas.openxmlformats.org/markup-compatibility/2006">
          <mc:Choice Requires="x14">
            <control shapeId="6951" r:id="rId93" name="Option Button 807">
              <controlPr defaultSize="0" autoFill="0" autoLine="0" autoPict="0">
                <anchor moveWithCells="1">
                  <from>
                    <xdr:col>3</xdr:col>
                    <xdr:colOff>27214</xdr:colOff>
                    <xdr:row>329</xdr:row>
                    <xdr:rowOff>48986</xdr:rowOff>
                  </from>
                  <to>
                    <xdr:col>10</xdr:col>
                    <xdr:colOff>10886</xdr:colOff>
                    <xdr:row>330</xdr:row>
                    <xdr:rowOff>266700</xdr:rowOff>
                  </to>
                </anchor>
              </controlPr>
            </control>
          </mc:Choice>
        </mc:AlternateContent>
        <mc:AlternateContent xmlns:mc="http://schemas.openxmlformats.org/markup-compatibility/2006">
          <mc:Choice Requires="x14">
            <control shapeId="6952" r:id="rId94" name="Option Button 808">
              <controlPr defaultSize="0" autoFill="0" autoLine="0" autoPict="0">
                <anchor moveWithCells="1">
                  <from>
                    <xdr:col>3</xdr:col>
                    <xdr:colOff>38100</xdr:colOff>
                    <xdr:row>331</xdr:row>
                    <xdr:rowOff>38100</xdr:rowOff>
                  </from>
                  <to>
                    <xdr:col>10</xdr:col>
                    <xdr:colOff>38100</xdr:colOff>
                    <xdr:row>332</xdr:row>
                    <xdr:rowOff>266700</xdr:rowOff>
                  </to>
                </anchor>
              </controlPr>
            </control>
          </mc:Choice>
        </mc:AlternateContent>
        <mc:AlternateContent xmlns:mc="http://schemas.openxmlformats.org/markup-compatibility/2006">
          <mc:Choice Requires="x14">
            <control shapeId="6953" r:id="rId95" name="Option Button 809">
              <controlPr defaultSize="0" autoFill="0" autoLine="0" autoPict="0">
                <anchor moveWithCells="1">
                  <from>
                    <xdr:col>3</xdr:col>
                    <xdr:colOff>27214</xdr:colOff>
                    <xdr:row>333</xdr:row>
                    <xdr:rowOff>48986</xdr:rowOff>
                  </from>
                  <to>
                    <xdr:col>10</xdr:col>
                    <xdr:colOff>10886</xdr:colOff>
                    <xdr:row>334</xdr:row>
                    <xdr:rowOff>266700</xdr:rowOff>
                  </to>
                </anchor>
              </controlPr>
            </control>
          </mc:Choice>
        </mc:AlternateContent>
        <mc:AlternateContent xmlns:mc="http://schemas.openxmlformats.org/markup-compatibility/2006">
          <mc:Choice Requires="x14">
            <control shapeId="6954" r:id="rId96" name="Option Button 810">
              <controlPr defaultSize="0" autoFill="0" autoLine="0" autoPict="0">
                <anchor moveWithCells="1">
                  <from>
                    <xdr:col>3</xdr:col>
                    <xdr:colOff>27214</xdr:colOff>
                    <xdr:row>335</xdr:row>
                    <xdr:rowOff>48986</xdr:rowOff>
                  </from>
                  <to>
                    <xdr:col>10</xdr:col>
                    <xdr:colOff>10886</xdr:colOff>
                    <xdr:row>336</xdr:row>
                    <xdr:rowOff>277586</xdr:rowOff>
                  </to>
                </anchor>
              </controlPr>
            </control>
          </mc:Choice>
        </mc:AlternateContent>
        <mc:AlternateContent xmlns:mc="http://schemas.openxmlformats.org/markup-compatibility/2006">
          <mc:Choice Requires="x14">
            <control shapeId="6955" r:id="rId97" name="Option Button 811">
              <controlPr defaultSize="0" autoFill="0" autoLine="0" autoPict="0">
                <anchor moveWithCells="1">
                  <from>
                    <xdr:col>3</xdr:col>
                    <xdr:colOff>27214</xdr:colOff>
                    <xdr:row>337</xdr:row>
                    <xdr:rowOff>10886</xdr:rowOff>
                  </from>
                  <to>
                    <xdr:col>9</xdr:col>
                    <xdr:colOff>179614</xdr:colOff>
                    <xdr:row>338</xdr:row>
                    <xdr:rowOff>239486</xdr:rowOff>
                  </to>
                </anchor>
              </controlPr>
            </control>
          </mc:Choice>
        </mc:AlternateContent>
        <mc:AlternateContent xmlns:mc="http://schemas.openxmlformats.org/markup-compatibility/2006">
          <mc:Choice Requires="x14">
            <control shapeId="6956" r:id="rId98" name="Option Button 812">
              <controlPr defaultSize="0" autoFill="0" autoLine="0" autoPict="0">
                <anchor moveWithCells="1">
                  <from>
                    <xdr:col>3</xdr:col>
                    <xdr:colOff>27214</xdr:colOff>
                    <xdr:row>327</xdr:row>
                    <xdr:rowOff>48986</xdr:rowOff>
                  </from>
                  <to>
                    <xdr:col>10</xdr:col>
                    <xdr:colOff>27214</xdr:colOff>
                    <xdr:row>328</xdr:row>
                    <xdr:rowOff>266700</xdr:rowOff>
                  </to>
                </anchor>
              </controlPr>
            </control>
          </mc:Choice>
        </mc:AlternateContent>
        <mc:AlternateContent xmlns:mc="http://schemas.openxmlformats.org/markup-compatibility/2006">
          <mc:Choice Requires="x14">
            <control shapeId="6957" r:id="rId99" name="Group Box 813">
              <controlPr defaultSize="0" autoFill="0" autoPict="0">
                <anchor moveWithCells="1">
                  <from>
                    <xdr:col>3</xdr:col>
                    <xdr:colOff>0</xdr:colOff>
                    <xdr:row>345</xdr:row>
                    <xdr:rowOff>0</xdr:rowOff>
                  </from>
                  <to>
                    <xdr:col>10</xdr:col>
                    <xdr:colOff>103414</xdr:colOff>
                    <xdr:row>357</xdr:row>
                    <xdr:rowOff>65314</xdr:rowOff>
                  </to>
                </anchor>
              </controlPr>
            </control>
          </mc:Choice>
        </mc:AlternateContent>
        <mc:AlternateContent xmlns:mc="http://schemas.openxmlformats.org/markup-compatibility/2006">
          <mc:Choice Requires="x14">
            <control shapeId="6958" r:id="rId100" name="Option Button 814">
              <controlPr defaultSize="0" autoFill="0" autoLine="0" autoPict="0">
                <anchor moveWithCells="1">
                  <from>
                    <xdr:col>3</xdr:col>
                    <xdr:colOff>27214</xdr:colOff>
                    <xdr:row>347</xdr:row>
                    <xdr:rowOff>48986</xdr:rowOff>
                  </from>
                  <to>
                    <xdr:col>10</xdr:col>
                    <xdr:colOff>10886</xdr:colOff>
                    <xdr:row>348</xdr:row>
                    <xdr:rowOff>266700</xdr:rowOff>
                  </to>
                </anchor>
              </controlPr>
            </control>
          </mc:Choice>
        </mc:AlternateContent>
        <mc:AlternateContent xmlns:mc="http://schemas.openxmlformats.org/markup-compatibility/2006">
          <mc:Choice Requires="x14">
            <control shapeId="6959" r:id="rId101" name="Option Button 815">
              <controlPr defaultSize="0" autoFill="0" autoLine="0" autoPict="0">
                <anchor moveWithCells="1">
                  <from>
                    <xdr:col>3</xdr:col>
                    <xdr:colOff>27214</xdr:colOff>
                    <xdr:row>349</xdr:row>
                    <xdr:rowOff>27214</xdr:rowOff>
                  </from>
                  <to>
                    <xdr:col>10</xdr:col>
                    <xdr:colOff>0</xdr:colOff>
                    <xdr:row>350</xdr:row>
                    <xdr:rowOff>255814</xdr:rowOff>
                  </to>
                </anchor>
              </controlPr>
            </control>
          </mc:Choice>
        </mc:AlternateContent>
        <mc:AlternateContent xmlns:mc="http://schemas.openxmlformats.org/markup-compatibility/2006">
          <mc:Choice Requires="x14">
            <control shapeId="6960" r:id="rId102" name="Option Button 816">
              <controlPr defaultSize="0" autoFill="0" autoLine="0" autoPict="0">
                <anchor moveWithCells="1">
                  <from>
                    <xdr:col>3</xdr:col>
                    <xdr:colOff>38100</xdr:colOff>
                    <xdr:row>351</xdr:row>
                    <xdr:rowOff>48986</xdr:rowOff>
                  </from>
                  <to>
                    <xdr:col>10</xdr:col>
                    <xdr:colOff>27214</xdr:colOff>
                    <xdr:row>352</xdr:row>
                    <xdr:rowOff>266700</xdr:rowOff>
                  </to>
                </anchor>
              </controlPr>
            </control>
          </mc:Choice>
        </mc:AlternateContent>
        <mc:AlternateContent xmlns:mc="http://schemas.openxmlformats.org/markup-compatibility/2006">
          <mc:Choice Requires="x14">
            <control shapeId="6961" r:id="rId103" name="Option Button 817">
              <controlPr defaultSize="0" autoFill="0" autoLine="0" autoPict="0">
                <anchor moveWithCells="1">
                  <from>
                    <xdr:col>3</xdr:col>
                    <xdr:colOff>27214</xdr:colOff>
                    <xdr:row>353</xdr:row>
                    <xdr:rowOff>48986</xdr:rowOff>
                  </from>
                  <to>
                    <xdr:col>10</xdr:col>
                    <xdr:colOff>10886</xdr:colOff>
                    <xdr:row>355</xdr:row>
                    <xdr:rowOff>65314</xdr:rowOff>
                  </to>
                </anchor>
              </controlPr>
            </control>
          </mc:Choice>
        </mc:AlternateContent>
        <mc:AlternateContent xmlns:mc="http://schemas.openxmlformats.org/markup-compatibility/2006">
          <mc:Choice Requires="x14">
            <control shapeId="6962" r:id="rId104" name="Option Button 818">
              <controlPr defaultSize="0" autoFill="0" autoLine="0" autoPict="0">
                <anchor moveWithCells="1">
                  <from>
                    <xdr:col>3</xdr:col>
                    <xdr:colOff>27214</xdr:colOff>
                    <xdr:row>355</xdr:row>
                    <xdr:rowOff>27214</xdr:rowOff>
                  </from>
                  <to>
                    <xdr:col>10</xdr:col>
                    <xdr:colOff>27214</xdr:colOff>
                    <xdr:row>357</xdr:row>
                    <xdr:rowOff>38100</xdr:rowOff>
                  </to>
                </anchor>
              </controlPr>
            </control>
          </mc:Choice>
        </mc:AlternateContent>
        <mc:AlternateContent xmlns:mc="http://schemas.openxmlformats.org/markup-compatibility/2006">
          <mc:Choice Requires="x14">
            <control shapeId="6963" r:id="rId105" name="Option Button 819">
              <controlPr defaultSize="0" autoFill="0" autoLine="0" autoPict="0">
                <anchor moveWithCells="1">
                  <from>
                    <xdr:col>3</xdr:col>
                    <xdr:colOff>27214</xdr:colOff>
                    <xdr:row>345</xdr:row>
                    <xdr:rowOff>48986</xdr:rowOff>
                  </from>
                  <to>
                    <xdr:col>10</xdr:col>
                    <xdr:colOff>10886</xdr:colOff>
                    <xdr:row>346</xdr:row>
                    <xdr:rowOff>266700</xdr:rowOff>
                  </to>
                </anchor>
              </controlPr>
            </control>
          </mc:Choice>
        </mc:AlternateContent>
        <mc:AlternateContent xmlns:mc="http://schemas.openxmlformats.org/markup-compatibility/2006">
          <mc:Choice Requires="x14">
            <control shapeId="6964" r:id="rId106" name="Group Box 820">
              <controlPr defaultSize="0" autoFill="0" autoPict="0">
                <anchor moveWithCells="1">
                  <from>
                    <xdr:col>2</xdr:col>
                    <xdr:colOff>190500</xdr:colOff>
                    <xdr:row>363</xdr:row>
                    <xdr:rowOff>0</xdr:rowOff>
                  </from>
                  <to>
                    <xdr:col>10</xdr:col>
                    <xdr:colOff>114300</xdr:colOff>
                    <xdr:row>379</xdr:row>
                    <xdr:rowOff>0</xdr:rowOff>
                  </to>
                </anchor>
              </controlPr>
            </control>
          </mc:Choice>
        </mc:AlternateContent>
        <mc:AlternateContent xmlns:mc="http://schemas.openxmlformats.org/markup-compatibility/2006">
          <mc:Choice Requires="x14">
            <control shapeId="6965" r:id="rId107" name="Option Button 821">
              <controlPr defaultSize="0" autoFill="0" autoLine="0" autoPict="0">
                <anchor moveWithCells="1">
                  <from>
                    <xdr:col>3</xdr:col>
                    <xdr:colOff>38100</xdr:colOff>
                    <xdr:row>365</xdr:row>
                    <xdr:rowOff>48986</xdr:rowOff>
                  </from>
                  <to>
                    <xdr:col>10</xdr:col>
                    <xdr:colOff>48986</xdr:colOff>
                    <xdr:row>366</xdr:row>
                    <xdr:rowOff>266700</xdr:rowOff>
                  </to>
                </anchor>
              </controlPr>
            </control>
          </mc:Choice>
        </mc:AlternateContent>
        <mc:AlternateContent xmlns:mc="http://schemas.openxmlformats.org/markup-compatibility/2006">
          <mc:Choice Requires="x14">
            <control shapeId="6966" r:id="rId108" name="Option Button 822">
              <controlPr defaultSize="0" autoFill="0" autoLine="0" autoPict="0">
                <anchor moveWithCells="1">
                  <from>
                    <xdr:col>3</xdr:col>
                    <xdr:colOff>48986</xdr:colOff>
                    <xdr:row>367</xdr:row>
                    <xdr:rowOff>27214</xdr:rowOff>
                  </from>
                  <to>
                    <xdr:col>10</xdr:col>
                    <xdr:colOff>10886</xdr:colOff>
                    <xdr:row>368</xdr:row>
                    <xdr:rowOff>255814</xdr:rowOff>
                  </to>
                </anchor>
              </controlPr>
            </control>
          </mc:Choice>
        </mc:AlternateContent>
        <mc:AlternateContent xmlns:mc="http://schemas.openxmlformats.org/markup-compatibility/2006">
          <mc:Choice Requires="x14">
            <control shapeId="6967" r:id="rId109" name="Option Button 823">
              <controlPr defaultSize="0" autoFill="0" autoLine="0" autoPict="0">
                <anchor moveWithCells="1">
                  <from>
                    <xdr:col>3</xdr:col>
                    <xdr:colOff>38100</xdr:colOff>
                    <xdr:row>369</xdr:row>
                    <xdr:rowOff>48986</xdr:rowOff>
                  </from>
                  <to>
                    <xdr:col>10</xdr:col>
                    <xdr:colOff>27214</xdr:colOff>
                    <xdr:row>370</xdr:row>
                    <xdr:rowOff>266700</xdr:rowOff>
                  </to>
                </anchor>
              </controlPr>
            </control>
          </mc:Choice>
        </mc:AlternateContent>
        <mc:AlternateContent xmlns:mc="http://schemas.openxmlformats.org/markup-compatibility/2006">
          <mc:Choice Requires="x14">
            <control shapeId="6968" r:id="rId110" name="Option Button 824">
              <controlPr defaultSize="0" autoFill="0" autoLine="0" autoPict="0">
                <anchor moveWithCells="1">
                  <from>
                    <xdr:col>3</xdr:col>
                    <xdr:colOff>27214</xdr:colOff>
                    <xdr:row>373</xdr:row>
                    <xdr:rowOff>0</xdr:rowOff>
                  </from>
                  <to>
                    <xdr:col>10</xdr:col>
                    <xdr:colOff>10886</xdr:colOff>
                    <xdr:row>374</xdr:row>
                    <xdr:rowOff>228600</xdr:rowOff>
                  </to>
                </anchor>
              </controlPr>
            </control>
          </mc:Choice>
        </mc:AlternateContent>
        <mc:AlternateContent xmlns:mc="http://schemas.openxmlformats.org/markup-compatibility/2006">
          <mc:Choice Requires="x14">
            <control shapeId="6969" r:id="rId111" name="Option Button 825">
              <controlPr defaultSize="0" autoFill="0" autoLine="0" autoPict="0">
                <anchor moveWithCells="1">
                  <from>
                    <xdr:col>3</xdr:col>
                    <xdr:colOff>38100</xdr:colOff>
                    <xdr:row>376</xdr:row>
                    <xdr:rowOff>38100</xdr:rowOff>
                  </from>
                  <to>
                    <xdr:col>10</xdr:col>
                    <xdr:colOff>38100</xdr:colOff>
                    <xdr:row>378</xdr:row>
                    <xdr:rowOff>48986</xdr:rowOff>
                  </to>
                </anchor>
              </controlPr>
            </control>
          </mc:Choice>
        </mc:AlternateContent>
        <mc:AlternateContent xmlns:mc="http://schemas.openxmlformats.org/markup-compatibility/2006">
          <mc:Choice Requires="x14">
            <control shapeId="6970" r:id="rId112" name="Option Button 826">
              <controlPr defaultSize="0" autoFill="0" autoLine="0" autoPict="0">
                <anchor moveWithCells="1">
                  <from>
                    <xdr:col>3</xdr:col>
                    <xdr:colOff>38100</xdr:colOff>
                    <xdr:row>363</xdr:row>
                    <xdr:rowOff>48986</xdr:rowOff>
                  </from>
                  <to>
                    <xdr:col>10</xdr:col>
                    <xdr:colOff>27214</xdr:colOff>
                    <xdr:row>365</xdr:row>
                    <xdr:rowOff>38100</xdr:rowOff>
                  </to>
                </anchor>
              </controlPr>
            </control>
          </mc:Choice>
        </mc:AlternateContent>
        <mc:AlternateContent xmlns:mc="http://schemas.openxmlformats.org/markup-compatibility/2006">
          <mc:Choice Requires="x14">
            <control shapeId="6971" r:id="rId113" name="Group Box 827">
              <controlPr defaultSize="0" autoFill="0" autoPict="0">
                <anchor moveWithCells="1">
                  <from>
                    <xdr:col>3</xdr:col>
                    <xdr:colOff>0</xdr:colOff>
                    <xdr:row>384</xdr:row>
                    <xdr:rowOff>0</xdr:rowOff>
                  </from>
                  <to>
                    <xdr:col>10</xdr:col>
                    <xdr:colOff>103414</xdr:colOff>
                    <xdr:row>398</xdr:row>
                    <xdr:rowOff>0</xdr:rowOff>
                  </to>
                </anchor>
              </controlPr>
            </control>
          </mc:Choice>
        </mc:AlternateContent>
        <mc:AlternateContent xmlns:mc="http://schemas.openxmlformats.org/markup-compatibility/2006">
          <mc:Choice Requires="x14">
            <control shapeId="6972" r:id="rId114" name="Option Button 828">
              <controlPr defaultSize="0" autoFill="0" autoLine="0" autoPict="0">
                <anchor moveWithCells="1">
                  <from>
                    <xdr:col>3</xdr:col>
                    <xdr:colOff>48986</xdr:colOff>
                    <xdr:row>386</xdr:row>
                    <xdr:rowOff>48986</xdr:rowOff>
                  </from>
                  <to>
                    <xdr:col>10</xdr:col>
                    <xdr:colOff>48986</xdr:colOff>
                    <xdr:row>387</xdr:row>
                    <xdr:rowOff>266700</xdr:rowOff>
                  </to>
                </anchor>
              </controlPr>
            </control>
          </mc:Choice>
        </mc:AlternateContent>
        <mc:AlternateContent xmlns:mc="http://schemas.openxmlformats.org/markup-compatibility/2006">
          <mc:Choice Requires="x14">
            <control shapeId="6973" r:id="rId115" name="Option Button 829">
              <controlPr defaultSize="0" autoFill="0" autoLine="0" autoPict="0">
                <anchor moveWithCells="1">
                  <from>
                    <xdr:col>3</xdr:col>
                    <xdr:colOff>38100</xdr:colOff>
                    <xdr:row>389</xdr:row>
                    <xdr:rowOff>27214</xdr:rowOff>
                  </from>
                  <to>
                    <xdr:col>10</xdr:col>
                    <xdr:colOff>10886</xdr:colOff>
                    <xdr:row>390</xdr:row>
                    <xdr:rowOff>255814</xdr:rowOff>
                  </to>
                </anchor>
              </controlPr>
            </control>
          </mc:Choice>
        </mc:AlternateContent>
        <mc:AlternateContent xmlns:mc="http://schemas.openxmlformats.org/markup-compatibility/2006">
          <mc:Choice Requires="x14">
            <control shapeId="6974" r:id="rId116" name="Option Button 830">
              <controlPr defaultSize="0" autoFill="0" autoLine="0" autoPict="0">
                <anchor moveWithCells="1">
                  <from>
                    <xdr:col>3</xdr:col>
                    <xdr:colOff>38100</xdr:colOff>
                    <xdr:row>391</xdr:row>
                    <xdr:rowOff>38100</xdr:rowOff>
                  </from>
                  <to>
                    <xdr:col>10</xdr:col>
                    <xdr:colOff>27214</xdr:colOff>
                    <xdr:row>393</xdr:row>
                    <xdr:rowOff>38100</xdr:rowOff>
                  </to>
                </anchor>
              </controlPr>
            </control>
          </mc:Choice>
        </mc:AlternateContent>
        <mc:AlternateContent xmlns:mc="http://schemas.openxmlformats.org/markup-compatibility/2006">
          <mc:Choice Requires="x14">
            <control shapeId="6975" r:id="rId117" name="Option Button 831">
              <controlPr defaultSize="0" autoFill="0" autoLine="0" autoPict="0">
                <anchor moveWithCells="1">
                  <from>
                    <xdr:col>3</xdr:col>
                    <xdr:colOff>38100</xdr:colOff>
                    <xdr:row>393</xdr:row>
                    <xdr:rowOff>38100</xdr:rowOff>
                  </from>
                  <to>
                    <xdr:col>10</xdr:col>
                    <xdr:colOff>27214</xdr:colOff>
                    <xdr:row>395</xdr:row>
                    <xdr:rowOff>38100</xdr:rowOff>
                  </to>
                </anchor>
              </controlPr>
            </control>
          </mc:Choice>
        </mc:AlternateContent>
        <mc:AlternateContent xmlns:mc="http://schemas.openxmlformats.org/markup-compatibility/2006">
          <mc:Choice Requires="x14">
            <control shapeId="6976" r:id="rId118" name="Option Button 832">
              <controlPr defaultSize="0" autoFill="0" autoLine="0" autoPict="0">
                <anchor moveWithCells="1">
                  <from>
                    <xdr:col>3</xdr:col>
                    <xdr:colOff>38100</xdr:colOff>
                    <xdr:row>395</xdr:row>
                    <xdr:rowOff>38100</xdr:rowOff>
                  </from>
                  <to>
                    <xdr:col>10</xdr:col>
                    <xdr:colOff>0</xdr:colOff>
                    <xdr:row>397</xdr:row>
                    <xdr:rowOff>38100</xdr:rowOff>
                  </to>
                </anchor>
              </controlPr>
            </control>
          </mc:Choice>
        </mc:AlternateContent>
        <mc:AlternateContent xmlns:mc="http://schemas.openxmlformats.org/markup-compatibility/2006">
          <mc:Choice Requires="x14">
            <control shapeId="6977" r:id="rId119" name="Option Button 833">
              <controlPr defaultSize="0" autoFill="0" autoLine="0" autoPict="0">
                <anchor moveWithCells="1">
                  <from>
                    <xdr:col>3</xdr:col>
                    <xdr:colOff>38100</xdr:colOff>
                    <xdr:row>384</xdr:row>
                    <xdr:rowOff>48986</xdr:rowOff>
                  </from>
                  <to>
                    <xdr:col>10</xdr:col>
                    <xdr:colOff>27214</xdr:colOff>
                    <xdr:row>385</xdr:row>
                    <xdr:rowOff>266700</xdr:rowOff>
                  </to>
                </anchor>
              </controlPr>
            </control>
          </mc:Choice>
        </mc:AlternateContent>
        <mc:AlternateContent xmlns:mc="http://schemas.openxmlformats.org/markup-compatibility/2006">
          <mc:Choice Requires="x14">
            <control shapeId="6978" r:id="rId120" name="Group Box 834">
              <controlPr defaultSize="0" autoFill="0" autoPict="0">
                <anchor moveWithCells="1">
                  <from>
                    <xdr:col>3</xdr:col>
                    <xdr:colOff>0</xdr:colOff>
                    <xdr:row>403</xdr:row>
                    <xdr:rowOff>0</xdr:rowOff>
                  </from>
                  <to>
                    <xdr:col>10</xdr:col>
                    <xdr:colOff>103414</xdr:colOff>
                    <xdr:row>416</xdr:row>
                    <xdr:rowOff>0</xdr:rowOff>
                  </to>
                </anchor>
              </controlPr>
            </control>
          </mc:Choice>
        </mc:AlternateContent>
        <mc:AlternateContent xmlns:mc="http://schemas.openxmlformats.org/markup-compatibility/2006">
          <mc:Choice Requires="x14">
            <control shapeId="6979" r:id="rId121" name="Option Button 835">
              <controlPr defaultSize="0" autoFill="0" autoLine="0" autoPict="0">
                <anchor moveWithCells="1">
                  <from>
                    <xdr:col>3</xdr:col>
                    <xdr:colOff>38100</xdr:colOff>
                    <xdr:row>405</xdr:row>
                    <xdr:rowOff>48986</xdr:rowOff>
                  </from>
                  <to>
                    <xdr:col>9</xdr:col>
                    <xdr:colOff>179614</xdr:colOff>
                    <xdr:row>406</xdr:row>
                    <xdr:rowOff>266700</xdr:rowOff>
                  </to>
                </anchor>
              </controlPr>
            </control>
          </mc:Choice>
        </mc:AlternateContent>
        <mc:AlternateContent xmlns:mc="http://schemas.openxmlformats.org/markup-compatibility/2006">
          <mc:Choice Requires="x14">
            <control shapeId="6980" r:id="rId122" name="Option Button 836">
              <controlPr defaultSize="0" autoFill="0" autoLine="0" autoPict="0">
                <anchor moveWithCells="1">
                  <from>
                    <xdr:col>3</xdr:col>
                    <xdr:colOff>38100</xdr:colOff>
                    <xdr:row>407</xdr:row>
                    <xdr:rowOff>27214</xdr:rowOff>
                  </from>
                  <to>
                    <xdr:col>10</xdr:col>
                    <xdr:colOff>0</xdr:colOff>
                    <xdr:row>408</xdr:row>
                    <xdr:rowOff>255814</xdr:rowOff>
                  </to>
                </anchor>
              </controlPr>
            </control>
          </mc:Choice>
        </mc:AlternateContent>
        <mc:AlternateContent xmlns:mc="http://schemas.openxmlformats.org/markup-compatibility/2006">
          <mc:Choice Requires="x14">
            <control shapeId="6981" r:id="rId123" name="Option Button 837">
              <controlPr defaultSize="0" autoFill="0" autoLine="0" autoPict="0">
                <anchor moveWithCells="1">
                  <from>
                    <xdr:col>3</xdr:col>
                    <xdr:colOff>48986</xdr:colOff>
                    <xdr:row>409</xdr:row>
                    <xdr:rowOff>48986</xdr:rowOff>
                  </from>
                  <to>
                    <xdr:col>10</xdr:col>
                    <xdr:colOff>38100</xdr:colOff>
                    <xdr:row>410</xdr:row>
                    <xdr:rowOff>266700</xdr:rowOff>
                  </to>
                </anchor>
              </controlPr>
            </control>
          </mc:Choice>
        </mc:AlternateContent>
        <mc:AlternateContent xmlns:mc="http://schemas.openxmlformats.org/markup-compatibility/2006">
          <mc:Choice Requires="x14">
            <control shapeId="6982" r:id="rId124" name="Option Button 838">
              <controlPr defaultSize="0" autoFill="0" autoLine="0" autoPict="0">
                <anchor moveWithCells="1">
                  <from>
                    <xdr:col>3</xdr:col>
                    <xdr:colOff>38100</xdr:colOff>
                    <xdr:row>411</xdr:row>
                    <xdr:rowOff>48986</xdr:rowOff>
                  </from>
                  <to>
                    <xdr:col>10</xdr:col>
                    <xdr:colOff>27214</xdr:colOff>
                    <xdr:row>412</xdr:row>
                    <xdr:rowOff>277586</xdr:rowOff>
                  </to>
                </anchor>
              </controlPr>
            </control>
          </mc:Choice>
        </mc:AlternateContent>
        <mc:AlternateContent xmlns:mc="http://schemas.openxmlformats.org/markup-compatibility/2006">
          <mc:Choice Requires="x14">
            <control shapeId="6983" r:id="rId125" name="Option Button 839">
              <controlPr defaultSize="0" autoFill="0" autoLine="0" autoPict="0">
                <anchor moveWithCells="1">
                  <from>
                    <xdr:col>3</xdr:col>
                    <xdr:colOff>38100</xdr:colOff>
                    <xdr:row>413</xdr:row>
                    <xdr:rowOff>10886</xdr:rowOff>
                  </from>
                  <to>
                    <xdr:col>9</xdr:col>
                    <xdr:colOff>190500</xdr:colOff>
                    <xdr:row>415</xdr:row>
                    <xdr:rowOff>10886</xdr:rowOff>
                  </to>
                </anchor>
              </controlPr>
            </control>
          </mc:Choice>
        </mc:AlternateContent>
        <mc:AlternateContent xmlns:mc="http://schemas.openxmlformats.org/markup-compatibility/2006">
          <mc:Choice Requires="x14">
            <control shapeId="6984" r:id="rId126" name="Option Button 840">
              <controlPr defaultSize="0" autoFill="0" autoLine="0" autoPict="0">
                <anchor moveWithCells="1">
                  <from>
                    <xdr:col>3</xdr:col>
                    <xdr:colOff>38100</xdr:colOff>
                    <xdr:row>403</xdr:row>
                    <xdr:rowOff>48986</xdr:rowOff>
                  </from>
                  <to>
                    <xdr:col>10</xdr:col>
                    <xdr:colOff>38100</xdr:colOff>
                    <xdr:row>404</xdr:row>
                    <xdr:rowOff>266700</xdr:rowOff>
                  </to>
                </anchor>
              </controlPr>
            </control>
          </mc:Choice>
        </mc:AlternateContent>
        <mc:AlternateContent xmlns:mc="http://schemas.openxmlformats.org/markup-compatibility/2006">
          <mc:Choice Requires="x14">
            <control shapeId="6985" r:id="rId127" name="Group Box 841">
              <controlPr defaultSize="0" autoFill="0" autoPict="0">
                <anchor moveWithCells="1">
                  <from>
                    <xdr:col>3</xdr:col>
                    <xdr:colOff>0</xdr:colOff>
                    <xdr:row>421</xdr:row>
                    <xdr:rowOff>0</xdr:rowOff>
                  </from>
                  <to>
                    <xdr:col>10</xdr:col>
                    <xdr:colOff>65314</xdr:colOff>
                    <xdr:row>433</xdr:row>
                    <xdr:rowOff>65314</xdr:rowOff>
                  </to>
                </anchor>
              </controlPr>
            </control>
          </mc:Choice>
        </mc:AlternateContent>
        <mc:AlternateContent xmlns:mc="http://schemas.openxmlformats.org/markup-compatibility/2006">
          <mc:Choice Requires="x14">
            <control shapeId="6986" r:id="rId128" name="Option Button 842">
              <controlPr defaultSize="0" autoFill="0" autoLine="0" autoPict="0">
                <anchor moveWithCells="1">
                  <from>
                    <xdr:col>3</xdr:col>
                    <xdr:colOff>38100</xdr:colOff>
                    <xdr:row>423</xdr:row>
                    <xdr:rowOff>48986</xdr:rowOff>
                  </from>
                  <to>
                    <xdr:col>9</xdr:col>
                    <xdr:colOff>190500</xdr:colOff>
                    <xdr:row>424</xdr:row>
                    <xdr:rowOff>266700</xdr:rowOff>
                  </to>
                </anchor>
              </controlPr>
            </control>
          </mc:Choice>
        </mc:AlternateContent>
        <mc:AlternateContent xmlns:mc="http://schemas.openxmlformats.org/markup-compatibility/2006">
          <mc:Choice Requires="x14">
            <control shapeId="6987" r:id="rId129" name="Option Button 843">
              <controlPr defaultSize="0" autoFill="0" autoLine="0" autoPict="0">
                <anchor moveWithCells="1">
                  <from>
                    <xdr:col>3</xdr:col>
                    <xdr:colOff>38100</xdr:colOff>
                    <xdr:row>425</xdr:row>
                    <xdr:rowOff>27214</xdr:rowOff>
                  </from>
                  <to>
                    <xdr:col>10</xdr:col>
                    <xdr:colOff>0</xdr:colOff>
                    <xdr:row>426</xdr:row>
                    <xdr:rowOff>255814</xdr:rowOff>
                  </to>
                </anchor>
              </controlPr>
            </control>
          </mc:Choice>
        </mc:AlternateContent>
        <mc:AlternateContent xmlns:mc="http://schemas.openxmlformats.org/markup-compatibility/2006">
          <mc:Choice Requires="x14">
            <control shapeId="6988" r:id="rId130" name="Option Button 844">
              <controlPr defaultSize="0" autoFill="0" autoLine="0" autoPict="0">
                <anchor moveWithCells="1">
                  <from>
                    <xdr:col>3</xdr:col>
                    <xdr:colOff>38100</xdr:colOff>
                    <xdr:row>427</xdr:row>
                    <xdr:rowOff>48986</xdr:rowOff>
                  </from>
                  <to>
                    <xdr:col>10</xdr:col>
                    <xdr:colOff>27214</xdr:colOff>
                    <xdr:row>428</xdr:row>
                    <xdr:rowOff>266700</xdr:rowOff>
                  </to>
                </anchor>
              </controlPr>
            </control>
          </mc:Choice>
        </mc:AlternateContent>
        <mc:AlternateContent xmlns:mc="http://schemas.openxmlformats.org/markup-compatibility/2006">
          <mc:Choice Requires="x14">
            <control shapeId="6989" r:id="rId131" name="Option Button 845">
              <controlPr defaultSize="0" autoFill="0" autoLine="0" autoPict="0">
                <anchor moveWithCells="1">
                  <from>
                    <xdr:col>3</xdr:col>
                    <xdr:colOff>38100</xdr:colOff>
                    <xdr:row>429</xdr:row>
                    <xdr:rowOff>48986</xdr:rowOff>
                  </from>
                  <to>
                    <xdr:col>9</xdr:col>
                    <xdr:colOff>125186</xdr:colOff>
                    <xdr:row>431</xdr:row>
                    <xdr:rowOff>48986</xdr:rowOff>
                  </to>
                </anchor>
              </controlPr>
            </control>
          </mc:Choice>
        </mc:AlternateContent>
        <mc:AlternateContent xmlns:mc="http://schemas.openxmlformats.org/markup-compatibility/2006">
          <mc:Choice Requires="x14">
            <control shapeId="6990" r:id="rId132" name="Option Button 846">
              <controlPr defaultSize="0" autoFill="0" autoLine="0" autoPict="0">
                <anchor moveWithCells="1">
                  <from>
                    <xdr:col>3</xdr:col>
                    <xdr:colOff>38100</xdr:colOff>
                    <xdr:row>431</xdr:row>
                    <xdr:rowOff>10886</xdr:rowOff>
                  </from>
                  <to>
                    <xdr:col>9</xdr:col>
                    <xdr:colOff>179614</xdr:colOff>
                    <xdr:row>433</xdr:row>
                    <xdr:rowOff>27214</xdr:rowOff>
                  </to>
                </anchor>
              </controlPr>
            </control>
          </mc:Choice>
        </mc:AlternateContent>
        <mc:AlternateContent xmlns:mc="http://schemas.openxmlformats.org/markup-compatibility/2006">
          <mc:Choice Requires="x14">
            <control shapeId="6991" r:id="rId133" name="Option Button 847">
              <controlPr defaultSize="0" autoFill="0" autoLine="0" autoPict="0">
                <anchor moveWithCells="1">
                  <from>
                    <xdr:col>3</xdr:col>
                    <xdr:colOff>38100</xdr:colOff>
                    <xdr:row>421</xdr:row>
                    <xdr:rowOff>48986</xdr:rowOff>
                  </from>
                  <to>
                    <xdr:col>9</xdr:col>
                    <xdr:colOff>163286</xdr:colOff>
                    <xdr:row>423</xdr:row>
                    <xdr:rowOff>38100</xdr:rowOff>
                  </to>
                </anchor>
              </controlPr>
            </control>
          </mc:Choice>
        </mc:AlternateContent>
        <mc:AlternateContent xmlns:mc="http://schemas.openxmlformats.org/markup-compatibility/2006">
          <mc:Choice Requires="x14">
            <control shapeId="6992" r:id="rId134" name="Group Box 848">
              <controlPr defaultSize="0" autoFill="0" autoPict="0">
                <anchor moveWithCells="1">
                  <from>
                    <xdr:col>3</xdr:col>
                    <xdr:colOff>0</xdr:colOff>
                    <xdr:row>439</xdr:row>
                    <xdr:rowOff>0</xdr:rowOff>
                  </from>
                  <to>
                    <xdr:col>10</xdr:col>
                    <xdr:colOff>114300</xdr:colOff>
                    <xdr:row>451</xdr:row>
                    <xdr:rowOff>27214</xdr:rowOff>
                  </to>
                </anchor>
              </controlPr>
            </control>
          </mc:Choice>
        </mc:AlternateContent>
        <mc:AlternateContent xmlns:mc="http://schemas.openxmlformats.org/markup-compatibility/2006">
          <mc:Choice Requires="x14">
            <control shapeId="6993" r:id="rId135" name="Option Button 849">
              <controlPr defaultSize="0" autoFill="0" autoLine="0" autoPict="0">
                <anchor moveWithCells="1">
                  <from>
                    <xdr:col>3</xdr:col>
                    <xdr:colOff>38100</xdr:colOff>
                    <xdr:row>441</xdr:row>
                    <xdr:rowOff>48986</xdr:rowOff>
                  </from>
                  <to>
                    <xdr:col>10</xdr:col>
                    <xdr:colOff>10886</xdr:colOff>
                    <xdr:row>442</xdr:row>
                    <xdr:rowOff>266700</xdr:rowOff>
                  </to>
                </anchor>
              </controlPr>
            </control>
          </mc:Choice>
        </mc:AlternateContent>
        <mc:AlternateContent xmlns:mc="http://schemas.openxmlformats.org/markup-compatibility/2006">
          <mc:Choice Requires="x14">
            <control shapeId="6994" r:id="rId136" name="Option Button 850">
              <controlPr defaultSize="0" autoFill="0" autoLine="0" autoPict="0">
                <anchor moveWithCells="1">
                  <from>
                    <xdr:col>3</xdr:col>
                    <xdr:colOff>38100</xdr:colOff>
                    <xdr:row>443</xdr:row>
                    <xdr:rowOff>27214</xdr:rowOff>
                  </from>
                  <to>
                    <xdr:col>10</xdr:col>
                    <xdr:colOff>48986</xdr:colOff>
                    <xdr:row>444</xdr:row>
                    <xdr:rowOff>255814</xdr:rowOff>
                  </to>
                </anchor>
              </controlPr>
            </control>
          </mc:Choice>
        </mc:AlternateContent>
        <mc:AlternateContent xmlns:mc="http://schemas.openxmlformats.org/markup-compatibility/2006">
          <mc:Choice Requires="x14">
            <control shapeId="6995" r:id="rId137" name="Option Button 851">
              <controlPr defaultSize="0" autoFill="0" autoLine="0" autoPict="0">
                <anchor moveWithCells="1">
                  <from>
                    <xdr:col>3</xdr:col>
                    <xdr:colOff>38100</xdr:colOff>
                    <xdr:row>445</xdr:row>
                    <xdr:rowOff>48986</xdr:rowOff>
                  </from>
                  <to>
                    <xdr:col>10</xdr:col>
                    <xdr:colOff>27214</xdr:colOff>
                    <xdr:row>446</xdr:row>
                    <xdr:rowOff>266700</xdr:rowOff>
                  </to>
                </anchor>
              </controlPr>
            </control>
          </mc:Choice>
        </mc:AlternateContent>
        <mc:AlternateContent xmlns:mc="http://schemas.openxmlformats.org/markup-compatibility/2006">
          <mc:Choice Requires="x14">
            <control shapeId="6996" r:id="rId138" name="Option Button 852">
              <controlPr defaultSize="0" autoFill="0" autoLine="0" autoPict="0">
                <anchor moveWithCells="1">
                  <from>
                    <xdr:col>3</xdr:col>
                    <xdr:colOff>27214</xdr:colOff>
                    <xdr:row>447</xdr:row>
                    <xdr:rowOff>48986</xdr:rowOff>
                  </from>
                  <to>
                    <xdr:col>10</xdr:col>
                    <xdr:colOff>10886</xdr:colOff>
                    <xdr:row>448</xdr:row>
                    <xdr:rowOff>277586</xdr:rowOff>
                  </to>
                </anchor>
              </controlPr>
            </control>
          </mc:Choice>
        </mc:AlternateContent>
        <mc:AlternateContent xmlns:mc="http://schemas.openxmlformats.org/markup-compatibility/2006">
          <mc:Choice Requires="x14">
            <control shapeId="6997" r:id="rId139" name="Option Button 853">
              <controlPr defaultSize="0" autoFill="0" autoLine="0" autoPict="0">
                <anchor moveWithCells="1">
                  <from>
                    <xdr:col>3</xdr:col>
                    <xdr:colOff>38100</xdr:colOff>
                    <xdr:row>449</xdr:row>
                    <xdr:rowOff>10886</xdr:rowOff>
                  </from>
                  <to>
                    <xdr:col>10</xdr:col>
                    <xdr:colOff>48986</xdr:colOff>
                    <xdr:row>450</xdr:row>
                    <xdr:rowOff>228600</xdr:rowOff>
                  </to>
                </anchor>
              </controlPr>
            </control>
          </mc:Choice>
        </mc:AlternateContent>
        <mc:AlternateContent xmlns:mc="http://schemas.openxmlformats.org/markup-compatibility/2006">
          <mc:Choice Requires="x14">
            <control shapeId="6998" r:id="rId140" name="Option Button 854">
              <controlPr defaultSize="0" autoFill="0" autoLine="0" autoPict="0">
                <anchor moveWithCells="1">
                  <from>
                    <xdr:col>3</xdr:col>
                    <xdr:colOff>38100</xdr:colOff>
                    <xdr:row>439</xdr:row>
                    <xdr:rowOff>48986</xdr:rowOff>
                  </from>
                  <to>
                    <xdr:col>10</xdr:col>
                    <xdr:colOff>65314</xdr:colOff>
                    <xdr:row>440</xdr:row>
                    <xdr:rowOff>266700</xdr:rowOff>
                  </to>
                </anchor>
              </controlPr>
            </control>
          </mc:Choice>
        </mc:AlternateContent>
        <mc:AlternateContent xmlns:mc="http://schemas.openxmlformats.org/markup-compatibility/2006">
          <mc:Choice Requires="x14">
            <control shapeId="6999" r:id="rId141" name="Group Box 855">
              <controlPr defaultSize="0" autoFill="0" autoPict="0">
                <anchor moveWithCells="1">
                  <from>
                    <xdr:col>3</xdr:col>
                    <xdr:colOff>0</xdr:colOff>
                    <xdr:row>457</xdr:row>
                    <xdr:rowOff>0</xdr:rowOff>
                  </from>
                  <to>
                    <xdr:col>10</xdr:col>
                    <xdr:colOff>114300</xdr:colOff>
                    <xdr:row>469</xdr:row>
                    <xdr:rowOff>65314</xdr:rowOff>
                  </to>
                </anchor>
              </controlPr>
            </control>
          </mc:Choice>
        </mc:AlternateContent>
        <mc:AlternateContent xmlns:mc="http://schemas.openxmlformats.org/markup-compatibility/2006">
          <mc:Choice Requires="x14">
            <control shapeId="7000" r:id="rId142" name="Option Button 856">
              <controlPr defaultSize="0" autoFill="0" autoLine="0" autoPict="0">
                <anchor moveWithCells="1">
                  <from>
                    <xdr:col>3</xdr:col>
                    <xdr:colOff>38100</xdr:colOff>
                    <xdr:row>459</xdr:row>
                    <xdr:rowOff>48986</xdr:rowOff>
                  </from>
                  <to>
                    <xdr:col>10</xdr:col>
                    <xdr:colOff>76200</xdr:colOff>
                    <xdr:row>460</xdr:row>
                    <xdr:rowOff>266700</xdr:rowOff>
                  </to>
                </anchor>
              </controlPr>
            </control>
          </mc:Choice>
        </mc:AlternateContent>
        <mc:AlternateContent xmlns:mc="http://schemas.openxmlformats.org/markup-compatibility/2006">
          <mc:Choice Requires="x14">
            <control shapeId="7001" r:id="rId143" name="Option Button 857">
              <controlPr defaultSize="0" autoFill="0" autoLine="0" autoPict="0">
                <anchor moveWithCells="1">
                  <from>
                    <xdr:col>3</xdr:col>
                    <xdr:colOff>38100</xdr:colOff>
                    <xdr:row>461</xdr:row>
                    <xdr:rowOff>27214</xdr:rowOff>
                  </from>
                  <to>
                    <xdr:col>10</xdr:col>
                    <xdr:colOff>48986</xdr:colOff>
                    <xdr:row>462</xdr:row>
                    <xdr:rowOff>255814</xdr:rowOff>
                  </to>
                </anchor>
              </controlPr>
            </control>
          </mc:Choice>
        </mc:AlternateContent>
        <mc:AlternateContent xmlns:mc="http://schemas.openxmlformats.org/markup-compatibility/2006">
          <mc:Choice Requires="x14">
            <control shapeId="7002" r:id="rId144" name="Option Button 858">
              <controlPr defaultSize="0" autoFill="0" autoLine="0" autoPict="0">
                <anchor moveWithCells="1">
                  <from>
                    <xdr:col>3</xdr:col>
                    <xdr:colOff>38100</xdr:colOff>
                    <xdr:row>463</xdr:row>
                    <xdr:rowOff>48986</xdr:rowOff>
                  </from>
                  <to>
                    <xdr:col>10</xdr:col>
                    <xdr:colOff>27214</xdr:colOff>
                    <xdr:row>464</xdr:row>
                    <xdr:rowOff>266700</xdr:rowOff>
                  </to>
                </anchor>
              </controlPr>
            </control>
          </mc:Choice>
        </mc:AlternateContent>
        <mc:AlternateContent xmlns:mc="http://schemas.openxmlformats.org/markup-compatibility/2006">
          <mc:Choice Requires="x14">
            <control shapeId="7003" r:id="rId145" name="Option Button 859">
              <controlPr defaultSize="0" autoFill="0" autoLine="0" autoPict="0">
                <anchor moveWithCells="1">
                  <from>
                    <xdr:col>3</xdr:col>
                    <xdr:colOff>27214</xdr:colOff>
                    <xdr:row>465</xdr:row>
                    <xdr:rowOff>48986</xdr:rowOff>
                  </from>
                  <to>
                    <xdr:col>10</xdr:col>
                    <xdr:colOff>10886</xdr:colOff>
                    <xdr:row>466</xdr:row>
                    <xdr:rowOff>277586</xdr:rowOff>
                  </to>
                </anchor>
              </controlPr>
            </control>
          </mc:Choice>
        </mc:AlternateContent>
        <mc:AlternateContent xmlns:mc="http://schemas.openxmlformats.org/markup-compatibility/2006">
          <mc:Choice Requires="x14">
            <control shapeId="7004" r:id="rId146" name="Option Button 860">
              <controlPr defaultSize="0" autoFill="0" autoLine="0" autoPict="0">
                <anchor moveWithCells="1">
                  <from>
                    <xdr:col>3</xdr:col>
                    <xdr:colOff>27214</xdr:colOff>
                    <xdr:row>467</xdr:row>
                    <xdr:rowOff>10886</xdr:rowOff>
                  </from>
                  <to>
                    <xdr:col>10</xdr:col>
                    <xdr:colOff>27214</xdr:colOff>
                    <xdr:row>469</xdr:row>
                    <xdr:rowOff>10886</xdr:rowOff>
                  </to>
                </anchor>
              </controlPr>
            </control>
          </mc:Choice>
        </mc:AlternateContent>
        <mc:AlternateContent xmlns:mc="http://schemas.openxmlformats.org/markup-compatibility/2006">
          <mc:Choice Requires="x14">
            <control shapeId="7005" r:id="rId147" name="Option Button 861">
              <controlPr defaultSize="0" autoFill="0" autoLine="0" autoPict="0">
                <anchor moveWithCells="1">
                  <from>
                    <xdr:col>3</xdr:col>
                    <xdr:colOff>38100</xdr:colOff>
                    <xdr:row>457</xdr:row>
                    <xdr:rowOff>48986</xdr:rowOff>
                  </from>
                  <to>
                    <xdr:col>10</xdr:col>
                    <xdr:colOff>76200</xdr:colOff>
                    <xdr:row>458</xdr:row>
                    <xdr:rowOff>266700</xdr:rowOff>
                  </to>
                </anchor>
              </controlPr>
            </control>
          </mc:Choice>
        </mc:AlternateContent>
        <mc:AlternateContent xmlns:mc="http://schemas.openxmlformats.org/markup-compatibility/2006">
          <mc:Choice Requires="x14">
            <control shapeId="7013" r:id="rId148" name="Group Box 869">
              <controlPr defaultSize="0" autoFill="0" autoPict="0">
                <anchor moveWithCells="1">
                  <from>
                    <xdr:col>2</xdr:col>
                    <xdr:colOff>190500</xdr:colOff>
                    <xdr:row>496</xdr:row>
                    <xdr:rowOff>239486</xdr:rowOff>
                  </from>
                  <to>
                    <xdr:col>10</xdr:col>
                    <xdr:colOff>114300</xdr:colOff>
                    <xdr:row>510</xdr:row>
                    <xdr:rowOff>0</xdr:rowOff>
                  </to>
                </anchor>
              </controlPr>
            </control>
          </mc:Choice>
        </mc:AlternateContent>
        <mc:AlternateContent xmlns:mc="http://schemas.openxmlformats.org/markup-compatibility/2006">
          <mc:Choice Requires="x14">
            <control shapeId="7014" r:id="rId149" name="Option Button 870">
              <controlPr defaultSize="0" autoFill="0" autoLine="0" autoPict="0">
                <anchor moveWithCells="1">
                  <from>
                    <xdr:col>3</xdr:col>
                    <xdr:colOff>38100</xdr:colOff>
                    <xdr:row>499</xdr:row>
                    <xdr:rowOff>48986</xdr:rowOff>
                  </from>
                  <to>
                    <xdr:col>10</xdr:col>
                    <xdr:colOff>27214</xdr:colOff>
                    <xdr:row>500</xdr:row>
                    <xdr:rowOff>266700</xdr:rowOff>
                  </to>
                </anchor>
              </controlPr>
            </control>
          </mc:Choice>
        </mc:AlternateContent>
        <mc:AlternateContent xmlns:mc="http://schemas.openxmlformats.org/markup-compatibility/2006">
          <mc:Choice Requires="x14">
            <control shapeId="7015" r:id="rId150" name="Option Button 871">
              <controlPr defaultSize="0" autoFill="0" autoLine="0" autoPict="0">
                <anchor moveWithCells="1">
                  <from>
                    <xdr:col>3</xdr:col>
                    <xdr:colOff>38100</xdr:colOff>
                    <xdr:row>501</xdr:row>
                    <xdr:rowOff>27214</xdr:rowOff>
                  </from>
                  <to>
                    <xdr:col>10</xdr:col>
                    <xdr:colOff>0</xdr:colOff>
                    <xdr:row>502</xdr:row>
                    <xdr:rowOff>255814</xdr:rowOff>
                  </to>
                </anchor>
              </controlPr>
            </control>
          </mc:Choice>
        </mc:AlternateContent>
        <mc:AlternateContent xmlns:mc="http://schemas.openxmlformats.org/markup-compatibility/2006">
          <mc:Choice Requires="x14">
            <control shapeId="7016" r:id="rId151" name="Option Button 872">
              <controlPr defaultSize="0" autoFill="0" autoLine="0" autoPict="0">
                <anchor moveWithCells="1">
                  <from>
                    <xdr:col>3</xdr:col>
                    <xdr:colOff>38100</xdr:colOff>
                    <xdr:row>503</xdr:row>
                    <xdr:rowOff>48986</xdr:rowOff>
                  </from>
                  <to>
                    <xdr:col>10</xdr:col>
                    <xdr:colOff>27214</xdr:colOff>
                    <xdr:row>504</xdr:row>
                    <xdr:rowOff>266700</xdr:rowOff>
                  </to>
                </anchor>
              </controlPr>
            </control>
          </mc:Choice>
        </mc:AlternateContent>
        <mc:AlternateContent xmlns:mc="http://schemas.openxmlformats.org/markup-compatibility/2006">
          <mc:Choice Requires="x14">
            <control shapeId="7017" r:id="rId152" name="Option Button 873">
              <controlPr defaultSize="0" autoFill="0" autoLine="0" autoPict="0">
                <anchor moveWithCells="1">
                  <from>
                    <xdr:col>3</xdr:col>
                    <xdr:colOff>38100</xdr:colOff>
                    <xdr:row>505</xdr:row>
                    <xdr:rowOff>48986</xdr:rowOff>
                  </from>
                  <to>
                    <xdr:col>10</xdr:col>
                    <xdr:colOff>27214</xdr:colOff>
                    <xdr:row>506</xdr:row>
                    <xdr:rowOff>277586</xdr:rowOff>
                  </to>
                </anchor>
              </controlPr>
            </control>
          </mc:Choice>
        </mc:AlternateContent>
        <mc:AlternateContent xmlns:mc="http://schemas.openxmlformats.org/markup-compatibility/2006">
          <mc:Choice Requires="x14">
            <control shapeId="7018" r:id="rId153" name="Option Button 874">
              <controlPr defaultSize="0" autoFill="0" autoLine="0" autoPict="0">
                <anchor moveWithCells="1">
                  <from>
                    <xdr:col>3</xdr:col>
                    <xdr:colOff>38100</xdr:colOff>
                    <xdr:row>507</xdr:row>
                    <xdr:rowOff>10886</xdr:rowOff>
                  </from>
                  <to>
                    <xdr:col>10</xdr:col>
                    <xdr:colOff>27214</xdr:colOff>
                    <xdr:row>508</xdr:row>
                    <xdr:rowOff>239486</xdr:rowOff>
                  </to>
                </anchor>
              </controlPr>
            </control>
          </mc:Choice>
        </mc:AlternateContent>
        <mc:AlternateContent xmlns:mc="http://schemas.openxmlformats.org/markup-compatibility/2006">
          <mc:Choice Requires="x14">
            <control shapeId="7019" r:id="rId154" name="Option Button 875">
              <controlPr defaultSize="0" autoFill="0" autoLine="0" autoPict="0">
                <anchor moveWithCells="1">
                  <from>
                    <xdr:col>3</xdr:col>
                    <xdr:colOff>38100</xdr:colOff>
                    <xdr:row>497</xdr:row>
                    <xdr:rowOff>48986</xdr:rowOff>
                  </from>
                  <to>
                    <xdr:col>10</xdr:col>
                    <xdr:colOff>27214</xdr:colOff>
                    <xdr:row>499</xdr:row>
                    <xdr:rowOff>38100</xdr:rowOff>
                  </to>
                </anchor>
              </controlPr>
            </control>
          </mc:Choice>
        </mc:AlternateContent>
        <mc:AlternateContent xmlns:mc="http://schemas.openxmlformats.org/markup-compatibility/2006">
          <mc:Choice Requires="x14">
            <control shapeId="7020" r:id="rId155" name="Group Box 876">
              <controlPr defaultSize="0" autoFill="0" autoPict="0">
                <anchor moveWithCells="1">
                  <from>
                    <xdr:col>2</xdr:col>
                    <xdr:colOff>190500</xdr:colOff>
                    <xdr:row>515</xdr:row>
                    <xdr:rowOff>0</xdr:rowOff>
                  </from>
                  <to>
                    <xdr:col>10</xdr:col>
                    <xdr:colOff>103414</xdr:colOff>
                    <xdr:row>530</xdr:row>
                    <xdr:rowOff>10886</xdr:rowOff>
                  </to>
                </anchor>
              </controlPr>
            </control>
          </mc:Choice>
        </mc:AlternateContent>
        <mc:AlternateContent xmlns:mc="http://schemas.openxmlformats.org/markup-compatibility/2006">
          <mc:Choice Requires="x14">
            <control shapeId="7021" r:id="rId156" name="Option Button 877">
              <controlPr defaultSize="0" autoFill="0" autoLine="0" autoPict="0">
                <anchor moveWithCells="1">
                  <from>
                    <xdr:col>3</xdr:col>
                    <xdr:colOff>27214</xdr:colOff>
                    <xdr:row>517</xdr:row>
                    <xdr:rowOff>48986</xdr:rowOff>
                  </from>
                  <to>
                    <xdr:col>10</xdr:col>
                    <xdr:colOff>27214</xdr:colOff>
                    <xdr:row>518</xdr:row>
                    <xdr:rowOff>266700</xdr:rowOff>
                  </to>
                </anchor>
              </controlPr>
            </control>
          </mc:Choice>
        </mc:AlternateContent>
        <mc:AlternateContent xmlns:mc="http://schemas.openxmlformats.org/markup-compatibility/2006">
          <mc:Choice Requires="x14">
            <control shapeId="7022" r:id="rId157" name="Option Button 878">
              <controlPr defaultSize="0" autoFill="0" autoLine="0" autoPict="0">
                <anchor moveWithCells="1">
                  <from>
                    <xdr:col>3</xdr:col>
                    <xdr:colOff>27214</xdr:colOff>
                    <xdr:row>520</xdr:row>
                    <xdr:rowOff>0</xdr:rowOff>
                  </from>
                  <to>
                    <xdr:col>10</xdr:col>
                    <xdr:colOff>38100</xdr:colOff>
                    <xdr:row>521</xdr:row>
                    <xdr:rowOff>228600</xdr:rowOff>
                  </to>
                </anchor>
              </controlPr>
            </control>
          </mc:Choice>
        </mc:AlternateContent>
        <mc:AlternateContent xmlns:mc="http://schemas.openxmlformats.org/markup-compatibility/2006">
          <mc:Choice Requires="x14">
            <control shapeId="7023" r:id="rId158" name="Option Button 879">
              <controlPr defaultSize="0" autoFill="0" autoLine="0" autoPict="0">
                <anchor moveWithCells="1">
                  <from>
                    <xdr:col>3</xdr:col>
                    <xdr:colOff>27214</xdr:colOff>
                    <xdr:row>523</xdr:row>
                    <xdr:rowOff>27214</xdr:rowOff>
                  </from>
                  <to>
                    <xdr:col>10</xdr:col>
                    <xdr:colOff>10886</xdr:colOff>
                    <xdr:row>524</xdr:row>
                    <xdr:rowOff>239486</xdr:rowOff>
                  </to>
                </anchor>
              </controlPr>
            </control>
          </mc:Choice>
        </mc:AlternateContent>
        <mc:AlternateContent xmlns:mc="http://schemas.openxmlformats.org/markup-compatibility/2006">
          <mc:Choice Requires="x14">
            <control shapeId="7024" r:id="rId159" name="Option Button 880">
              <controlPr defaultSize="0" autoFill="0" autoLine="0" autoPict="0">
                <anchor moveWithCells="1">
                  <from>
                    <xdr:col>3</xdr:col>
                    <xdr:colOff>27214</xdr:colOff>
                    <xdr:row>525</xdr:row>
                    <xdr:rowOff>27214</xdr:rowOff>
                  </from>
                  <to>
                    <xdr:col>10</xdr:col>
                    <xdr:colOff>10886</xdr:colOff>
                    <xdr:row>527</xdr:row>
                    <xdr:rowOff>27214</xdr:rowOff>
                  </to>
                </anchor>
              </controlPr>
            </control>
          </mc:Choice>
        </mc:AlternateContent>
        <mc:AlternateContent xmlns:mc="http://schemas.openxmlformats.org/markup-compatibility/2006">
          <mc:Choice Requires="x14">
            <control shapeId="7025" r:id="rId160" name="Option Button 881">
              <controlPr defaultSize="0" autoFill="0" autoLine="0" autoPict="0">
                <anchor moveWithCells="1">
                  <from>
                    <xdr:col>3</xdr:col>
                    <xdr:colOff>27214</xdr:colOff>
                    <xdr:row>527</xdr:row>
                    <xdr:rowOff>27214</xdr:rowOff>
                  </from>
                  <to>
                    <xdr:col>10</xdr:col>
                    <xdr:colOff>10886</xdr:colOff>
                    <xdr:row>529</xdr:row>
                    <xdr:rowOff>38100</xdr:rowOff>
                  </to>
                </anchor>
              </controlPr>
            </control>
          </mc:Choice>
        </mc:AlternateContent>
        <mc:AlternateContent xmlns:mc="http://schemas.openxmlformats.org/markup-compatibility/2006">
          <mc:Choice Requires="x14">
            <control shapeId="7026" r:id="rId161" name="Option Button 882">
              <controlPr defaultSize="0" autoFill="0" autoLine="0" autoPict="0">
                <anchor moveWithCells="1">
                  <from>
                    <xdr:col>3</xdr:col>
                    <xdr:colOff>27214</xdr:colOff>
                    <xdr:row>515</xdr:row>
                    <xdr:rowOff>48986</xdr:rowOff>
                  </from>
                  <to>
                    <xdr:col>10</xdr:col>
                    <xdr:colOff>10886</xdr:colOff>
                    <xdr:row>517</xdr:row>
                    <xdr:rowOff>38100</xdr:rowOff>
                  </to>
                </anchor>
              </controlPr>
            </control>
          </mc:Choice>
        </mc:AlternateContent>
        <mc:AlternateContent xmlns:mc="http://schemas.openxmlformats.org/markup-compatibility/2006">
          <mc:Choice Requires="x14">
            <control shapeId="7028" r:id="rId162" name="Group Box 884">
              <controlPr defaultSize="0" autoFill="0" autoPict="0">
                <anchor moveWithCells="1">
                  <from>
                    <xdr:col>3</xdr:col>
                    <xdr:colOff>0</xdr:colOff>
                    <xdr:row>475</xdr:row>
                    <xdr:rowOff>10886</xdr:rowOff>
                  </from>
                  <to>
                    <xdr:col>43</xdr:col>
                    <xdr:colOff>179614</xdr:colOff>
                    <xdr:row>477</xdr:row>
                    <xdr:rowOff>38100</xdr:rowOff>
                  </to>
                </anchor>
              </controlPr>
            </control>
          </mc:Choice>
        </mc:AlternateContent>
        <mc:AlternateContent xmlns:mc="http://schemas.openxmlformats.org/markup-compatibility/2006">
          <mc:Choice Requires="x14">
            <control shapeId="7029" r:id="rId163" name="Group Box 885">
              <controlPr defaultSize="0" autoFill="0" autoPict="0">
                <anchor moveWithCells="1">
                  <from>
                    <xdr:col>3</xdr:col>
                    <xdr:colOff>0</xdr:colOff>
                    <xdr:row>477</xdr:row>
                    <xdr:rowOff>38100</xdr:rowOff>
                  </from>
                  <to>
                    <xdr:col>43</xdr:col>
                    <xdr:colOff>179614</xdr:colOff>
                    <xdr:row>479</xdr:row>
                    <xdr:rowOff>38100</xdr:rowOff>
                  </to>
                </anchor>
              </controlPr>
            </control>
          </mc:Choice>
        </mc:AlternateContent>
        <mc:AlternateContent xmlns:mc="http://schemas.openxmlformats.org/markup-compatibility/2006">
          <mc:Choice Requires="x14">
            <control shapeId="7030" r:id="rId164" name="Group Box 886">
              <controlPr defaultSize="0" autoFill="0" autoPict="0">
                <anchor moveWithCells="1">
                  <from>
                    <xdr:col>3</xdr:col>
                    <xdr:colOff>0</xdr:colOff>
                    <xdr:row>479</xdr:row>
                    <xdr:rowOff>38100</xdr:rowOff>
                  </from>
                  <to>
                    <xdr:col>43</xdr:col>
                    <xdr:colOff>179614</xdr:colOff>
                    <xdr:row>481</xdr:row>
                    <xdr:rowOff>48986</xdr:rowOff>
                  </to>
                </anchor>
              </controlPr>
            </control>
          </mc:Choice>
        </mc:AlternateContent>
        <mc:AlternateContent xmlns:mc="http://schemas.openxmlformats.org/markup-compatibility/2006">
          <mc:Choice Requires="x14">
            <control shapeId="7031" r:id="rId165" name="Group Box 887">
              <controlPr defaultSize="0" autoFill="0" autoPict="0">
                <anchor moveWithCells="1">
                  <from>
                    <xdr:col>3</xdr:col>
                    <xdr:colOff>0</xdr:colOff>
                    <xdr:row>481</xdr:row>
                    <xdr:rowOff>48986</xdr:rowOff>
                  </from>
                  <to>
                    <xdr:col>43</xdr:col>
                    <xdr:colOff>179614</xdr:colOff>
                    <xdr:row>483</xdr:row>
                    <xdr:rowOff>38100</xdr:rowOff>
                  </to>
                </anchor>
              </controlPr>
            </control>
          </mc:Choice>
        </mc:AlternateContent>
        <mc:AlternateContent xmlns:mc="http://schemas.openxmlformats.org/markup-compatibility/2006">
          <mc:Choice Requires="x14">
            <control shapeId="7032" r:id="rId166" name="Group Box 888">
              <controlPr defaultSize="0" autoFill="0" autoPict="0">
                <anchor moveWithCells="1">
                  <from>
                    <xdr:col>3</xdr:col>
                    <xdr:colOff>0</xdr:colOff>
                    <xdr:row>483</xdr:row>
                    <xdr:rowOff>38100</xdr:rowOff>
                  </from>
                  <to>
                    <xdr:col>43</xdr:col>
                    <xdr:colOff>179614</xdr:colOff>
                    <xdr:row>485</xdr:row>
                    <xdr:rowOff>38100</xdr:rowOff>
                  </to>
                </anchor>
              </controlPr>
            </control>
          </mc:Choice>
        </mc:AlternateContent>
        <mc:AlternateContent xmlns:mc="http://schemas.openxmlformats.org/markup-compatibility/2006">
          <mc:Choice Requires="x14">
            <control shapeId="7033" r:id="rId167" name="Group Box 889">
              <controlPr defaultSize="0" autoFill="0" autoPict="0">
                <anchor moveWithCells="1">
                  <from>
                    <xdr:col>3</xdr:col>
                    <xdr:colOff>0</xdr:colOff>
                    <xdr:row>485</xdr:row>
                    <xdr:rowOff>38100</xdr:rowOff>
                  </from>
                  <to>
                    <xdr:col>43</xdr:col>
                    <xdr:colOff>179614</xdr:colOff>
                    <xdr:row>487</xdr:row>
                    <xdr:rowOff>65314</xdr:rowOff>
                  </to>
                </anchor>
              </controlPr>
            </control>
          </mc:Choice>
        </mc:AlternateContent>
        <mc:AlternateContent xmlns:mc="http://schemas.openxmlformats.org/markup-compatibility/2006">
          <mc:Choice Requires="x14">
            <control shapeId="7034" r:id="rId168" name="Group Box 890">
              <controlPr defaultSize="0" autoFill="0" autoPict="0">
                <anchor moveWithCells="1">
                  <from>
                    <xdr:col>2</xdr:col>
                    <xdr:colOff>179614</xdr:colOff>
                    <xdr:row>536</xdr:row>
                    <xdr:rowOff>0</xdr:rowOff>
                  </from>
                  <to>
                    <xdr:col>10</xdr:col>
                    <xdr:colOff>103414</xdr:colOff>
                    <xdr:row>548</xdr:row>
                    <xdr:rowOff>0</xdr:rowOff>
                  </to>
                </anchor>
              </controlPr>
            </control>
          </mc:Choice>
        </mc:AlternateContent>
        <mc:AlternateContent xmlns:mc="http://schemas.openxmlformats.org/markup-compatibility/2006">
          <mc:Choice Requires="x14">
            <control shapeId="7035" r:id="rId169" name="Option Button 891">
              <controlPr defaultSize="0" autoFill="0" autoLine="0" autoPict="0">
                <anchor moveWithCells="1">
                  <from>
                    <xdr:col>3</xdr:col>
                    <xdr:colOff>38100</xdr:colOff>
                    <xdr:row>536</xdr:row>
                    <xdr:rowOff>65314</xdr:rowOff>
                  </from>
                  <to>
                    <xdr:col>10</xdr:col>
                    <xdr:colOff>48986</xdr:colOff>
                    <xdr:row>537</xdr:row>
                    <xdr:rowOff>277586</xdr:rowOff>
                  </to>
                </anchor>
              </controlPr>
            </control>
          </mc:Choice>
        </mc:AlternateContent>
        <mc:AlternateContent xmlns:mc="http://schemas.openxmlformats.org/markup-compatibility/2006">
          <mc:Choice Requires="x14">
            <control shapeId="7036" r:id="rId170" name="Option Button 892">
              <controlPr defaultSize="0" autoFill="0" autoLine="0" autoPict="0">
                <anchor moveWithCells="1">
                  <from>
                    <xdr:col>3</xdr:col>
                    <xdr:colOff>27214</xdr:colOff>
                    <xdr:row>538</xdr:row>
                    <xdr:rowOff>65314</xdr:rowOff>
                  </from>
                  <to>
                    <xdr:col>10</xdr:col>
                    <xdr:colOff>48986</xdr:colOff>
                    <xdr:row>539</xdr:row>
                    <xdr:rowOff>293914</xdr:rowOff>
                  </to>
                </anchor>
              </controlPr>
            </control>
          </mc:Choice>
        </mc:AlternateContent>
        <mc:AlternateContent xmlns:mc="http://schemas.openxmlformats.org/markup-compatibility/2006">
          <mc:Choice Requires="x14">
            <control shapeId="7037" r:id="rId171" name="Option Button 893">
              <controlPr defaultSize="0" autoFill="0" autoLine="0" autoPict="0">
                <anchor moveWithCells="1">
                  <from>
                    <xdr:col>3</xdr:col>
                    <xdr:colOff>38100</xdr:colOff>
                    <xdr:row>540</xdr:row>
                    <xdr:rowOff>48986</xdr:rowOff>
                  </from>
                  <to>
                    <xdr:col>10</xdr:col>
                    <xdr:colOff>27214</xdr:colOff>
                    <xdr:row>541</xdr:row>
                    <xdr:rowOff>266700</xdr:rowOff>
                  </to>
                </anchor>
              </controlPr>
            </control>
          </mc:Choice>
        </mc:AlternateContent>
        <mc:AlternateContent xmlns:mc="http://schemas.openxmlformats.org/markup-compatibility/2006">
          <mc:Choice Requires="x14">
            <control shapeId="7038" r:id="rId172" name="Option Button 894">
              <controlPr defaultSize="0" autoFill="0" autoLine="0" autoPict="0">
                <anchor moveWithCells="1">
                  <from>
                    <xdr:col>3</xdr:col>
                    <xdr:colOff>27214</xdr:colOff>
                    <xdr:row>542</xdr:row>
                    <xdr:rowOff>48986</xdr:rowOff>
                  </from>
                  <to>
                    <xdr:col>10</xdr:col>
                    <xdr:colOff>10886</xdr:colOff>
                    <xdr:row>543</xdr:row>
                    <xdr:rowOff>277586</xdr:rowOff>
                  </to>
                </anchor>
              </controlPr>
            </control>
          </mc:Choice>
        </mc:AlternateContent>
        <mc:AlternateContent xmlns:mc="http://schemas.openxmlformats.org/markup-compatibility/2006">
          <mc:Choice Requires="x14">
            <control shapeId="7039" r:id="rId173" name="Option Button 895">
              <controlPr defaultSize="0" autoFill="0" autoLine="0" autoPict="0">
                <anchor moveWithCells="1">
                  <from>
                    <xdr:col>3</xdr:col>
                    <xdr:colOff>38100</xdr:colOff>
                    <xdr:row>545</xdr:row>
                    <xdr:rowOff>0</xdr:rowOff>
                  </from>
                  <to>
                    <xdr:col>10</xdr:col>
                    <xdr:colOff>27214</xdr:colOff>
                    <xdr:row>546</xdr:row>
                    <xdr:rowOff>228600</xdr:rowOff>
                  </to>
                </anchor>
              </controlPr>
            </control>
          </mc:Choice>
        </mc:AlternateContent>
        <mc:AlternateContent xmlns:mc="http://schemas.openxmlformats.org/markup-compatibility/2006">
          <mc:Choice Requires="x14">
            <control shapeId="7040" r:id="rId174" name="Group Box 896">
              <controlPr defaultSize="0" autoFill="0" autoPict="0">
                <anchor moveWithCells="1">
                  <from>
                    <xdr:col>2</xdr:col>
                    <xdr:colOff>179614</xdr:colOff>
                    <xdr:row>553</xdr:row>
                    <xdr:rowOff>0</xdr:rowOff>
                  </from>
                  <to>
                    <xdr:col>10</xdr:col>
                    <xdr:colOff>87086</xdr:colOff>
                    <xdr:row>563</xdr:row>
                    <xdr:rowOff>27214</xdr:rowOff>
                  </to>
                </anchor>
              </controlPr>
            </control>
          </mc:Choice>
        </mc:AlternateContent>
        <mc:AlternateContent xmlns:mc="http://schemas.openxmlformats.org/markup-compatibility/2006">
          <mc:Choice Requires="x14">
            <control shapeId="7041" r:id="rId175" name="Option Button 897">
              <controlPr defaultSize="0" autoFill="0" autoLine="0" autoPict="0">
                <anchor moveWithCells="1">
                  <from>
                    <xdr:col>3</xdr:col>
                    <xdr:colOff>27214</xdr:colOff>
                    <xdr:row>553</xdr:row>
                    <xdr:rowOff>65314</xdr:rowOff>
                  </from>
                  <to>
                    <xdr:col>10</xdr:col>
                    <xdr:colOff>48986</xdr:colOff>
                    <xdr:row>555</xdr:row>
                    <xdr:rowOff>48986</xdr:rowOff>
                  </to>
                </anchor>
              </controlPr>
            </control>
          </mc:Choice>
        </mc:AlternateContent>
        <mc:AlternateContent xmlns:mc="http://schemas.openxmlformats.org/markup-compatibility/2006">
          <mc:Choice Requires="x14">
            <control shapeId="7042" r:id="rId176" name="Option Button 898">
              <controlPr defaultSize="0" autoFill="0" autoLine="0" autoPict="0">
                <anchor moveWithCells="1">
                  <from>
                    <xdr:col>3</xdr:col>
                    <xdr:colOff>27214</xdr:colOff>
                    <xdr:row>555</xdr:row>
                    <xdr:rowOff>65314</xdr:rowOff>
                  </from>
                  <to>
                    <xdr:col>10</xdr:col>
                    <xdr:colOff>0</xdr:colOff>
                    <xdr:row>556</xdr:row>
                    <xdr:rowOff>293914</xdr:rowOff>
                  </to>
                </anchor>
              </controlPr>
            </control>
          </mc:Choice>
        </mc:AlternateContent>
        <mc:AlternateContent xmlns:mc="http://schemas.openxmlformats.org/markup-compatibility/2006">
          <mc:Choice Requires="x14">
            <control shapeId="7043" r:id="rId177" name="Option Button 899">
              <controlPr defaultSize="0" autoFill="0" autoLine="0" autoPict="0">
                <anchor moveWithCells="1">
                  <from>
                    <xdr:col>3</xdr:col>
                    <xdr:colOff>27214</xdr:colOff>
                    <xdr:row>557</xdr:row>
                    <xdr:rowOff>48986</xdr:rowOff>
                  </from>
                  <to>
                    <xdr:col>10</xdr:col>
                    <xdr:colOff>10886</xdr:colOff>
                    <xdr:row>558</xdr:row>
                    <xdr:rowOff>266700</xdr:rowOff>
                  </to>
                </anchor>
              </controlPr>
            </control>
          </mc:Choice>
        </mc:AlternateContent>
        <mc:AlternateContent xmlns:mc="http://schemas.openxmlformats.org/markup-compatibility/2006">
          <mc:Choice Requires="x14">
            <control shapeId="7044" r:id="rId178" name="Option Button 900">
              <controlPr defaultSize="0" autoFill="0" autoLine="0" autoPict="0">
                <anchor moveWithCells="1">
                  <from>
                    <xdr:col>3</xdr:col>
                    <xdr:colOff>27214</xdr:colOff>
                    <xdr:row>559</xdr:row>
                    <xdr:rowOff>48986</xdr:rowOff>
                  </from>
                  <to>
                    <xdr:col>10</xdr:col>
                    <xdr:colOff>10886</xdr:colOff>
                    <xdr:row>560</xdr:row>
                    <xdr:rowOff>277586</xdr:rowOff>
                  </to>
                </anchor>
              </controlPr>
            </control>
          </mc:Choice>
        </mc:AlternateContent>
        <mc:AlternateContent xmlns:mc="http://schemas.openxmlformats.org/markup-compatibility/2006">
          <mc:Choice Requires="x14">
            <control shapeId="7045" r:id="rId179" name="Option Button 901">
              <controlPr defaultSize="0" autoFill="0" autoLine="0" autoPict="0">
                <anchor moveWithCells="1">
                  <from>
                    <xdr:col>3</xdr:col>
                    <xdr:colOff>27214</xdr:colOff>
                    <xdr:row>561</xdr:row>
                    <xdr:rowOff>48986</xdr:rowOff>
                  </from>
                  <to>
                    <xdr:col>10</xdr:col>
                    <xdr:colOff>10886</xdr:colOff>
                    <xdr:row>562</xdr:row>
                    <xdr:rowOff>277586</xdr:rowOff>
                  </to>
                </anchor>
              </controlPr>
            </control>
          </mc:Choice>
        </mc:AlternateContent>
        <mc:AlternateContent xmlns:mc="http://schemas.openxmlformats.org/markup-compatibility/2006">
          <mc:Choice Requires="x14">
            <control shapeId="7046" r:id="rId180" name="Group Box 902">
              <controlPr defaultSize="0" autoFill="0" autoPict="0">
                <anchor moveWithCells="1">
                  <from>
                    <xdr:col>2</xdr:col>
                    <xdr:colOff>65314</xdr:colOff>
                    <xdr:row>568</xdr:row>
                    <xdr:rowOff>217714</xdr:rowOff>
                  </from>
                  <to>
                    <xdr:col>10</xdr:col>
                    <xdr:colOff>76200</xdr:colOff>
                    <xdr:row>581</xdr:row>
                    <xdr:rowOff>27214</xdr:rowOff>
                  </to>
                </anchor>
              </controlPr>
            </control>
          </mc:Choice>
        </mc:AlternateContent>
        <mc:AlternateContent xmlns:mc="http://schemas.openxmlformats.org/markup-compatibility/2006">
          <mc:Choice Requires="x14">
            <control shapeId="7047" r:id="rId181" name="Option Button 903">
              <controlPr defaultSize="0" autoFill="0" autoLine="0" autoPict="0">
                <anchor moveWithCells="1">
                  <from>
                    <xdr:col>3</xdr:col>
                    <xdr:colOff>38100</xdr:colOff>
                    <xdr:row>571</xdr:row>
                    <xdr:rowOff>48986</xdr:rowOff>
                  </from>
                  <to>
                    <xdr:col>10</xdr:col>
                    <xdr:colOff>10886</xdr:colOff>
                    <xdr:row>572</xdr:row>
                    <xdr:rowOff>266700</xdr:rowOff>
                  </to>
                </anchor>
              </controlPr>
            </control>
          </mc:Choice>
        </mc:AlternateContent>
        <mc:AlternateContent xmlns:mc="http://schemas.openxmlformats.org/markup-compatibility/2006">
          <mc:Choice Requires="x14">
            <control shapeId="7048" r:id="rId182" name="Option Button 904">
              <controlPr defaultSize="0" autoFill="0" autoLine="0" autoPict="0">
                <anchor moveWithCells="1">
                  <from>
                    <xdr:col>3</xdr:col>
                    <xdr:colOff>38100</xdr:colOff>
                    <xdr:row>573</xdr:row>
                    <xdr:rowOff>27214</xdr:rowOff>
                  </from>
                  <to>
                    <xdr:col>10</xdr:col>
                    <xdr:colOff>27214</xdr:colOff>
                    <xdr:row>574</xdr:row>
                    <xdr:rowOff>255814</xdr:rowOff>
                  </to>
                </anchor>
              </controlPr>
            </control>
          </mc:Choice>
        </mc:AlternateContent>
        <mc:AlternateContent xmlns:mc="http://schemas.openxmlformats.org/markup-compatibility/2006">
          <mc:Choice Requires="x14">
            <control shapeId="7049" r:id="rId183" name="Option Button 905">
              <controlPr defaultSize="0" autoFill="0" autoLine="0" autoPict="0">
                <anchor moveWithCells="1">
                  <from>
                    <xdr:col>3</xdr:col>
                    <xdr:colOff>38100</xdr:colOff>
                    <xdr:row>575</xdr:row>
                    <xdr:rowOff>38100</xdr:rowOff>
                  </from>
                  <to>
                    <xdr:col>10</xdr:col>
                    <xdr:colOff>27214</xdr:colOff>
                    <xdr:row>576</xdr:row>
                    <xdr:rowOff>255814</xdr:rowOff>
                  </to>
                </anchor>
              </controlPr>
            </control>
          </mc:Choice>
        </mc:AlternateContent>
        <mc:AlternateContent xmlns:mc="http://schemas.openxmlformats.org/markup-compatibility/2006">
          <mc:Choice Requires="x14">
            <control shapeId="7050" r:id="rId184" name="Option Button 906">
              <controlPr defaultSize="0" autoFill="0" autoLine="0" autoPict="0">
                <anchor moveWithCells="1">
                  <from>
                    <xdr:col>3</xdr:col>
                    <xdr:colOff>48986</xdr:colOff>
                    <xdr:row>577</xdr:row>
                    <xdr:rowOff>38100</xdr:rowOff>
                  </from>
                  <to>
                    <xdr:col>10</xdr:col>
                    <xdr:colOff>38100</xdr:colOff>
                    <xdr:row>578</xdr:row>
                    <xdr:rowOff>266700</xdr:rowOff>
                  </to>
                </anchor>
              </controlPr>
            </control>
          </mc:Choice>
        </mc:AlternateContent>
        <mc:AlternateContent xmlns:mc="http://schemas.openxmlformats.org/markup-compatibility/2006">
          <mc:Choice Requires="x14">
            <control shapeId="7052" r:id="rId185" name="Group Box 908">
              <controlPr defaultSize="0" autoFill="0" autoPict="0">
                <anchor moveWithCells="1">
                  <from>
                    <xdr:col>3</xdr:col>
                    <xdr:colOff>0</xdr:colOff>
                    <xdr:row>698</xdr:row>
                    <xdr:rowOff>0</xdr:rowOff>
                  </from>
                  <to>
                    <xdr:col>10</xdr:col>
                    <xdr:colOff>125186</xdr:colOff>
                    <xdr:row>709</xdr:row>
                    <xdr:rowOff>0</xdr:rowOff>
                  </to>
                </anchor>
              </controlPr>
            </control>
          </mc:Choice>
        </mc:AlternateContent>
        <mc:AlternateContent xmlns:mc="http://schemas.openxmlformats.org/markup-compatibility/2006">
          <mc:Choice Requires="x14">
            <control shapeId="7053" r:id="rId186" name="Option Button 909">
              <controlPr defaultSize="0" autoFill="0" autoLine="0" autoPict="0">
                <anchor moveWithCells="1">
                  <from>
                    <xdr:col>3</xdr:col>
                    <xdr:colOff>38100</xdr:colOff>
                    <xdr:row>698</xdr:row>
                    <xdr:rowOff>65314</xdr:rowOff>
                  </from>
                  <to>
                    <xdr:col>10</xdr:col>
                    <xdr:colOff>103414</xdr:colOff>
                    <xdr:row>699</xdr:row>
                    <xdr:rowOff>277586</xdr:rowOff>
                  </to>
                </anchor>
              </controlPr>
            </control>
          </mc:Choice>
        </mc:AlternateContent>
        <mc:AlternateContent xmlns:mc="http://schemas.openxmlformats.org/markup-compatibility/2006">
          <mc:Choice Requires="x14">
            <control shapeId="7054" r:id="rId187" name="Option Button 910">
              <controlPr defaultSize="0" autoFill="0" autoLine="0" autoPict="0">
                <anchor moveWithCells="1">
                  <from>
                    <xdr:col>3</xdr:col>
                    <xdr:colOff>38100</xdr:colOff>
                    <xdr:row>700</xdr:row>
                    <xdr:rowOff>65314</xdr:rowOff>
                  </from>
                  <to>
                    <xdr:col>10</xdr:col>
                    <xdr:colOff>48986</xdr:colOff>
                    <xdr:row>701</xdr:row>
                    <xdr:rowOff>293914</xdr:rowOff>
                  </to>
                </anchor>
              </controlPr>
            </control>
          </mc:Choice>
        </mc:AlternateContent>
        <mc:AlternateContent xmlns:mc="http://schemas.openxmlformats.org/markup-compatibility/2006">
          <mc:Choice Requires="x14">
            <control shapeId="7055" r:id="rId188" name="Option Button 911">
              <controlPr defaultSize="0" autoFill="0" autoLine="0" autoPict="0">
                <anchor moveWithCells="1">
                  <from>
                    <xdr:col>3</xdr:col>
                    <xdr:colOff>38100</xdr:colOff>
                    <xdr:row>702</xdr:row>
                    <xdr:rowOff>48986</xdr:rowOff>
                  </from>
                  <to>
                    <xdr:col>10</xdr:col>
                    <xdr:colOff>27214</xdr:colOff>
                    <xdr:row>703</xdr:row>
                    <xdr:rowOff>266700</xdr:rowOff>
                  </to>
                </anchor>
              </controlPr>
            </control>
          </mc:Choice>
        </mc:AlternateContent>
        <mc:AlternateContent xmlns:mc="http://schemas.openxmlformats.org/markup-compatibility/2006">
          <mc:Choice Requires="x14">
            <control shapeId="7056" r:id="rId189" name="Option Button 912">
              <controlPr defaultSize="0" autoFill="0" autoLine="0" autoPict="0">
                <anchor moveWithCells="1">
                  <from>
                    <xdr:col>3</xdr:col>
                    <xdr:colOff>38100</xdr:colOff>
                    <xdr:row>704</xdr:row>
                    <xdr:rowOff>48986</xdr:rowOff>
                  </from>
                  <to>
                    <xdr:col>10</xdr:col>
                    <xdr:colOff>27214</xdr:colOff>
                    <xdr:row>706</xdr:row>
                    <xdr:rowOff>48986</xdr:rowOff>
                  </to>
                </anchor>
              </controlPr>
            </control>
          </mc:Choice>
        </mc:AlternateContent>
        <mc:AlternateContent xmlns:mc="http://schemas.openxmlformats.org/markup-compatibility/2006">
          <mc:Choice Requires="x14">
            <control shapeId="7057" r:id="rId190" name="Option Button 913">
              <controlPr defaultSize="0" autoFill="0" autoLine="0" autoPict="0">
                <anchor moveWithCells="1">
                  <from>
                    <xdr:col>3</xdr:col>
                    <xdr:colOff>38100</xdr:colOff>
                    <xdr:row>706</xdr:row>
                    <xdr:rowOff>48986</xdr:rowOff>
                  </from>
                  <to>
                    <xdr:col>10</xdr:col>
                    <xdr:colOff>38100</xdr:colOff>
                    <xdr:row>708</xdr:row>
                    <xdr:rowOff>48986</xdr:rowOff>
                  </to>
                </anchor>
              </controlPr>
            </control>
          </mc:Choice>
        </mc:AlternateContent>
        <mc:AlternateContent xmlns:mc="http://schemas.openxmlformats.org/markup-compatibility/2006">
          <mc:Choice Requires="x14">
            <control shapeId="7058" r:id="rId191" name="Group Box 914">
              <controlPr defaultSize="0" autoFill="0" autoPict="0">
                <anchor moveWithCells="1">
                  <from>
                    <xdr:col>3</xdr:col>
                    <xdr:colOff>0</xdr:colOff>
                    <xdr:row>682</xdr:row>
                    <xdr:rowOff>0</xdr:rowOff>
                  </from>
                  <to>
                    <xdr:col>10</xdr:col>
                    <xdr:colOff>125186</xdr:colOff>
                    <xdr:row>693</xdr:row>
                    <xdr:rowOff>0</xdr:rowOff>
                  </to>
                </anchor>
              </controlPr>
            </control>
          </mc:Choice>
        </mc:AlternateContent>
        <mc:AlternateContent xmlns:mc="http://schemas.openxmlformats.org/markup-compatibility/2006">
          <mc:Choice Requires="x14">
            <control shapeId="7059" r:id="rId192" name="Option Button 915">
              <controlPr defaultSize="0" autoFill="0" autoLine="0" autoPict="0">
                <anchor moveWithCells="1">
                  <from>
                    <xdr:col>3</xdr:col>
                    <xdr:colOff>38100</xdr:colOff>
                    <xdr:row>682</xdr:row>
                    <xdr:rowOff>65314</xdr:rowOff>
                  </from>
                  <to>
                    <xdr:col>10</xdr:col>
                    <xdr:colOff>65314</xdr:colOff>
                    <xdr:row>684</xdr:row>
                    <xdr:rowOff>48986</xdr:rowOff>
                  </to>
                </anchor>
              </controlPr>
            </control>
          </mc:Choice>
        </mc:AlternateContent>
        <mc:AlternateContent xmlns:mc="http://schemas.openxmlformats.org/markup-compatibility/2006">
          <mc:Choice Requires="x14">
            <control shapeId="7060" r:id="rId193" name="Option Button 916">
              <controlPr defaultSize="0" autoFill="0" autoLine="0" autoPict="0">
                <anchor moveWithCells="1">
                  <from>
                    <xdr:col>3</xdr:col>
                    <xdr:colOff>38100</xdr:colOff>
                    <xdr:row>684</xdr:row>
                    <xdr:rowOff>65314</xdr:rowOff>
                  </from>
                  <to>
                    <xdr:col>10</xdr:col>
                    <xdr:colOff>65314</xdr:colOff>
                    <xdr:row>685</xdr:row>
                    <xdr:rowOff>293914</xdr:rowOff>
                  </to>
                </anchor>
              </controlPr>
            </control>
          </mc:Choice>
        </mc:AlternateContent>
        <mc:AlternateContent xmlns:mc="http://schemas.openxmlformats.org/markup-compatibility/2006">
          <mc:Choice Requires="x14">
            <control shapeId="7061" r:id="rId194" name="Option Button 917">
              <controlPr defaultSize="0" autoFill="0" autoLine="0" autoPict="0">
                <anchor moveWithCells="1">
                  <from>
                    <xdr:col>3</xdr:col>
                    <xdr:colOff>38100</xdr:colOff>
                    <xdr:row>686</xdr:row>
                    <xdr:rowOff>48986</xdr:rowOff>
                  </from>
                  <to>
                    <xdr:col>10</xdr:col>
                    <xdr:colOff>27214</xdr:colOff>
                    <xdr:row>687</xdr:row>
                    <xdr:rowOff>266700</xdr:rowOff>
                  </to>
                </anchor>
              </controlPr>
            </control>
          </mc:Choice>
        </mc:AlternateContent>
        <mc:AlternateContent xmlns:mc="http://schemas.openxmlformats.org/markup-compatibility/2006">
          <mc:Choice Requires="x14">
            <control shapeId="7062" r:id="rId195" name="Option Button 918">
              <controlPr defaultSize="0" autoFill="0" autoLine="0" autoPict="0">
                <anchor moveWithCells="1">
                  <from>
                    <xdr:col>3</xdr:col>
                    <xdr:colOff>38100</xdr:colOff>
                    <xdr:row>688</xdr:row>
                    <xdr:rowOff>48986</xdr:rowOff>
                  </from>
                  <to>
                    <xdr:col>10</xdr:col>
                    <xdr:colOff>27214</xdr:colOff>
                    <xdr:row>689</xdr:row>
                    <xdr:rowOff>277586</xdr:rowOff>
                  </to>
                </anchor>
              </controlPr>
            </control>
          </mc:Choice>
        </mc:AlternateContent>
        <mc:AlternateContent xmlns:mc="http://schemas.openxmlformats.org/markup-compatibility/2006">
          <mc:Choice Requires="x14">
            <control shapeId="7063" r:id="rId196" name="Option Button 919">
              <controlPr defaultSize="0" autoFill="0" autoLine="0" autoPict="0">
                <anchor moveWithCells="1">
                  <from>
                    <xdr:col>3</xdr:col>
                    <xdr:colOff>38100</xdr:colOff>
                    <xdr:row>690</xdr:row>
                    <xdr:rowOff>48986</xdr:rowOff>
                  </from>
                  <to>
                    <xdr:col>10</xdr:col>
                    <xdr:colOff>0</xdr:colOff>
                    <xdr:row>692</xdr:row>
                    <xdr:rowOff>10886</xdr:rowOff>
                  </to>
                </anchor>
              </controlPr>
            </control>
          </mc:Choice>
        </mc:AlternateContent>
        <mc:AlternateContent xmlns:mc="http://schemas.openxmlformats.org/markup-compatibility/2006">
          <mc:Choice Requires="x14">
            <control shapeId="7064" r:id="rId197" name="Group Box 920">
              <controlPr defaultSize="0" autoFill="0" autoPict="0">
                <anchor moveWithCells="1">
                  <from>
                    <xdr:col>3</xdr:col>
                    <xdr:colOff>0</xdr:colOff>
                    <xdr:row>664</xdr:row>
                    <xdr:rowOff>0</xdr:rowOff>
                  </from>
                  <to>
                    <xdr:col>10</xdr:col>
                    <xdr:colOff>125186</xdr:colOff>
                    <xdr:row>677</xdr:row>
                    <xdr:rowOff>0</xdr:rowOff>
                  </to>
                </anchor>
              </controlPr>
            </control>
          </mc:Choice>
        </mc:AlternateContent>
        <mc:AlternateContent xmlns:mc="http://schemas.openxmlformats.org/markup-compatibility/2006">
          <mc:Choice Requires="x14">
            <control shapeId="7065" r:id="rId198" name="Option Button 921">
              <controlPr defaultSize="0" autoFill="0" autoLine="0" autoPict="0">
                <anchor moveWithCells="1">
                  <from>
                    <xdr:col>3</xdr:col>
                    <xdr:colOff>38100</xdr:colOff>
                    <xdr:row>666</xdr:row>
                    <xdr:rowOff>65314</xdr:rowOff>
                  </from>
                  <to>
                    <xdr:col>10</xdr:col>
                    <xdr:colOff>76200</xdr:colOff>
                    <xdr:row>668</xdr:row>
                    <xdr:rowOff>48986</xdr:rowOff>
                  </to>
                </anchor>
              </controlPr>
            </control>
          </mc:Choice>
        </mc:AlternateContent>
        <mc:AlternateContent xmlns:mc="http://schemas.openxmlformats.org/markup-compatibility/2006">
          <mc:Choice Requires="x14">
            <control shapeId="7066" r:id="rId199" name="Option Button 922">
              <controlPr defaultSize="0" autoFill="0" autoLine="0" autoPict="0">
                <anchor moveWithCells="1">
                  <from>
                    <xdr:col>3</xdr:col>
                    <xdr:colOff>38100</xdr:colOff>
                    <xdr:row>668</xdr:row>
                    <xdr:rowOff>65314</xdr:rowOff>
                  </from>
                  <to>
                    <xdr:col>10</xdr:col>
                    <xdr:colOff>87086</xdr:colOff>
                    <xdr:row>669</xdr:row>
                    <xdr:rowOff>293914</xdr:rowOff>
                  </to>
                </anchor>
              </controlPr>
            </control>
          </mc:Choice>
        </mc:AlternateContent>
        <mc:AlternateContent xmlns:mc="http://schemas.openxmlformats.org/markup-compatibility/2006">
          <mc:Choice Requires="x14">
            <control shapeId="7067" r:id="rId200" name="Option Button 923">
              <controlPr defaultSize="0" autoFill="0" autoLine="0" autoPict="0">
                <anchor moveWithCells="1">
                  <from>
                    <xdr:col>3</xdr:col>
                    <xdr:colOff>38100</xdr:colOff>
                    <xdr:row>670</xdr:row>
                    <xdr:rowOff>48986</xdr:rowOff>
                  </from>
                  <to>
                    <xdr:col>10</xdr:col>
                    <xdr:colOff>27214</xdr:colOff>
                    <xdr:row>671</xdr:row>
                    <xdr:rowOff>266700</xdr:rowOff>
                  </to>
                </anchor>
              </controlPr>
            </control>
          </mc:Choice>
        </mc:AlternateContent>
        <mc:AlternateContent xmlns:mc="http://schemas.openxmlformats.org/markup-compatibility/2006">
          <mc:Choice Requires="x14">
            <control shapeId="7068" r:id="rId201" name="Option Button 924">
              <controlPr defaultSize="0" autoFill="0" autoLine="0" autoPict="0">
                <anchor moveWithCells="1">
                  <from>
                    <xdr:col>3</xdr:col>
                    <xdr:colOff>38100</xdr:colOff>
                    <xdr:row>672</xdr:row>
                    <xdr:rowOff>48986</xdr:rowOff>
                  </from>
                  <to>
                    <xdr:col>10</xdr:col>
                    <xdr:colOff>27214</xdr:colOff>
                    <xdr:row>674</xdr:row>
                    <xdr:rowOff>48986</xdr:rowOff>
                  </to>
                </anchor>
              </controlPr>
            </control>
          </mc:Choice>
        </mc:AlternateContent>
        <mc:AlternateContent xmlns:mc="http://schemas.openxmlformats.org/markup-compatibility/2006">
          <mc:Choice Requires="x14">
            <control shapeId="7069" r:id="rId202" name="Option Button 925">
              <controlPr defaultSize="0" autoFill="0" autoLine="0" autoPict="0">
                <anchor moveWithCells="1">
                  <from>
                    <xdr:col>3</xdr:col>
                    <xdr:colOff>38100</xdr:colOff>
                    <xdr:row>674</xdr:row>
                    <xdr:rowOff>48986</xdr:rowOff>
                  </from>
                  <to>
                    <xdr:col>10</xdr:col>
                    <xdr:colOff>87086</xdr:colOff>
                    <xdr:row>675</xdr:row>
                    <xdr:rowOff>277586</xdr:rowOff>
                  </to>
                </anchor>
              </controlPr>
            </control>
          </mc:Choice>
        </mc:AlternateContent>
        <mc:AlternateContent xmlns:mc="http://schemas.openxmlformats.org/markup-compatibility/2006">
          <mc:Choice Requires="x14">
            <control shapeId="7070" r:id="rId203" name="Group Box 926">
              <controlPr defaultSize="0" autoFill="0" autoPict="0">
                <anchor moveWithCells="1">
                  <from>
                    <xdr:col>3</xdr:col>
                    <xdr:colOff>0</xdr:colOff>
                    <xdr:row>644</xdr:row>
                    <xdr:rowOff>10886</xdr:rowOff>
                  </from>
                  <to>
                    <xdr:col>10</xdr:col>
                    <xdr:colOff>141514</xdr:colOff>
                    <xdr:row>659</xdr:row>
                    <xdr:rowOff>0</xdr:rowOff>
                  </to>
                </anchor>
              </controlPr>
            </control>
          </mc:Choice>
        </mc:AlternateContent>
        <mc:AlternateContent xmlns:mc="http://schemas.openxmlformats.org/markup-compatibility/2006">
          <mc:Choice Requires="x14">
            <control shapeId="7071" r:id="rId204" name="Option Button 927">
              <controlPr defaultSize="0" autoFill="0" autoLine="0" autoPict="0">
                <anchor moveWithCells="1">
                  <from>
                    <xdr:col>3</xdr:col>
                    <xdr:colOff>38100</xdr:colOff>
                    <xdr:row>646</xdr:row>
                    <xdr:rowOff>48986</xdr:rowOff>
                  </from>
                  <to>
                    <xdr:col>10</xdr:col>
                    <xdr:colOff>65314</xdr:colOff>
                    <xdr:row>647</xdr:row>
                    <xdr:rowOff>266700</xdr:rowOff>
                  </to>
                </anchor>
              </controlPr>
            </control>
          </mc:Choice>
        </mc:AlternateContent>
        <mc:AlternateContent xmlns:mc="http://schemas.openxmlformats.org/markup-compatibility/2006">
          <mc:Choice Requires="x14">
            <control shapeId="7072" r:id="rId205" name="Option Button 928">
              <controlPr defaultSize="0" autoFill="0" autoLine="0" autoPict="0">
                <anchor moveWithCells="1">
                  <from>
                    <xdr:col>3</xdr:col>
                    <xdr:colOff>38100</xdr:colOff>
                    <xdr:row>650</xdr:row>
                    <xdr:rowOff>38100</xdr:rowOff>
                  </from>
                  <to>
                    <xdr:col>10</xdr:col>
                    <xdr:colOff>65314</xdr:colOff>
                    <xdr:row>651</xdr:row>
                    <xdr:rowOff>266700</xdr:rowOff>
                  </to>
                </anchor>
              </controlPr>
            </control>
          </mc:Choice>
        </mc:AlternateContent>
        <mc:AlternateContent xmlns:mc="http://schemas.openxmlformats.org/markup-compatibility/2006">
          <mc:Choice Requires="x14">
            <control shapeId="7073" r:id="rId206" name="Option Button 929">
              <controlPr defaultSize="0" autoFill="0" autoLine="0" autoPict="0">
                <anchor moveWithCells="1">
                  <from>
                    <xdr:col>3</xdr:col>
                    <xdr:colOff>38100</xdr:colOff>
                    <xdr:row>652</xdr:row>
                    <xdr:rowOff>48986</xdr:rowOff>
                  </from>
                  <to>
                    <xdr:col>10</xdr:col>
                    <xdr:colOff>27214</xdr:colOff>
                    <xdr:row>653</xdr:row>
                    <xdr:rowOff>266700</xdr:rowOff>
                  </to>
                </anchor>
              </controlPr>
            </control>
          </mc:Choice>
        </mc:AlternateContent>
        <mc:AlternateContent xmlns:mc="http://schemas.openxmlformats.org/markup-compatibility/2006">
          <mc:Choice Requires="x14">
            <control shapeId="7074" r:id="rId207" name="Option Button 930">
              <controlPr defaultSize="0" autoFill="0" autoLine="0" autoPict="0">
                <anchor moveWithCells="1">
                  <from>
                    <xdr:col>3</xdr:col>
                    <xdr:colOff>48986</xdr:colOff>
                    <xdr:row>654</xdr:row>
                    <xdr:rowOff>38100</xdr:rowOff>
                  </from>
                  <to>
                    <xdr:col>10</xdr:col>
                    <xdr:colOff>38100</xdr:colOff>
                    <xdr:row>655</xdr:row>
                    <xdr:rowOff>266700</xdr:rowOff>
                  </to>
                </anchor>
              </controlPr>
            </control>
          </mc:Choice>
        </mc:AlternateContent>
        <mc:AlternateContent xmlns:mc="http://schemas.openxmlformats.org/markup-compatibility/2006">
          <mc:Choice Requires="x14">
            <control shapeId="7075" r:id="rId208" name="Option Button 931">
              <controlPr defaultSize="0" autoFill="0" autoLine="0" autoPict="0">
                <anchor moveWithCells="1">
                  <from>
                    <xdr:col>3</xdr:col>
                    <xdr:colOff>48986</xdr:colOff>
                    <xdr:row>656</xdr:row>
                    <xdr:rowOff>38100</xdr:rowOff>
                  </from>
                  <to>
                    <xdr:col>10</xdr:col>
                    <xdr:colOff>27214</xdr:colOff>
                    <xdr:row>657</xdr:row>
                    <xdr:rowOff>266700</xdr:rowOff>
                  </to>
                </anchor>
              </controlPr>
            </control>
          </mc:Choice>
        </mc:AlternateContent>
        <mc:AlternateContent xmlns:mc="http://schemas.openxmlformats.org/markup-compatibility/2006">
          <mc:Choice Requires="x14">
            <control shapeId="7076" r:id="rId209" name="Group Box 932">
              <controlPr defaultSize="0" autoFill="0" autoPict="0">
                <anchor moveWithCells="1">
                  <from>
                    <xdr:col>2</xdr:col>
                    <xdr:colOff>179614</xdr:colOff>
                    <xdr:row>621</xdr:row>
                    <xdr:rowOff>0</xdr:rowOff>
                  </from>
                  <to>
                    <xdr:col>10</xdr:col>
                    <xdr:colOff>114300</xdr:colOff>
                    <xdr:row>634</xdr:row>
                    <xdr:rowOff>48986</xdr:rowOff>
                  </to>
                </anchor>
              </controlPr>
            </control>
          </mc:Choice>
        </mc:AlternateContent>
        <mc:AlternateContent xmlns:mc="http://schemas.openxmlformats.org/markup-compatibility/2006">
          <mc:Choice Requires="x14">
            <control shapeId="7077" r:id="rId210" name="Option Button 933">
              <controlPr defaultSize="0" autoFill="0" autoLine="0" autoPict="0">
                <anchor moveWithCells="1">
                  <from>
                    <xdr:col>3</xdr:col>
                    <xdr:colOff>27214</xdr:colOff>
                    <xdr:row>621</xdr:row>
                    <xdr:rowOff>48986</xdr:rowOff>
                  </from>
                  <to>
                    <xdr:col>10</xdr:col>
                    <xdr:colOff>48986</xdr:colOff>
                    <xdr:row>622</xdr:row>
                    <xdr:rowOff>266700</xdr:rowOff>
                  </to>
                </anchor>
              </controlPr>
            </control>
          </mc:Choice>
        </mc:AlternateContent>
        <mc:AlternateContent xmlns:mc="http://schemas.openxmlformats.org/markup-compatibility/2006">
          <mc:Choice Requires="x14">
            <control shapeId="7078" r:id="rId211" name="Option Button 934">
              <controlPr defaultSize="0" autoFill="0" autoLine="0" autoPict="0">
                <anchor moveWithCells="1">
                  <from>
                    <xdr:col>3</xdr:col>
                    <xdr:colOff>10886</xdr:colOff>
                    <xdr:row>624</xdr:row>
                    <xdr:rowOff>27214</xdr:rowOff>
                  </from>
                  <to>
                    <xdr:col>10</xdr:col>
                    <xdr:colOff>65314</xdr:colOff>
                    <xdr:row>625</xdr:row>
                    <xdr:rowOff>255814</xdr:rowOff>
                  </to>
                </anchor>
              </controlPr>
            </control>
          </mc:Choice>
        </mc:AlternateContent>
        <mc:AlternateContent xmlns:mc="http://schemas.openxmlformats.org/markup-compatibility/2006">
          <mc:Choice Requires="x14">
            <control shapeId="7079" r:id="rId212" name="Option Button 935">
              <controlPr defaultSize="0" autoFill="0" autoLine="0" autoPict="0">
                <anchor moveWithCells="1">
                  <from>
                    <xdr:col>3</xdr:col>
                    <xdr:colOff>27214</xdr:colOff>
                    <xdr:row>626</xdr:row>
                    <xdr:rowOff>38100</xdr:rowOff>
                  </from>
                  <to>
                    <xdr:col>10</xdr:col>
                    <xdr:colOff>10886</xdr:colOff>
                    <xdr:row>628</xdr:row>
                    <xdr:rowOff>27214</xdr:rowOff>
                  </to>
                </anchor>
              </controlPr>
            </control>
          </mc:Choice>
        </mc:AlternateContent>
        <mc:AlternateContent xmlns:mc="http://schemas.openxmlformats.org/markup-compatibility/2006">
          <mc:Choice Requires="x14">
            <control shapeId="7080" r:id="rId213" name="Option Button 936">
              <controlPr defaultSize="0" autoFill="0" autoLine="0" autoPict="0">
                <anchor moveWithCells="1">
                  <from>
                    <xdr:col>3</xdr:col>
                    <xdr:colOff>10886</xdr:colOff>
                    <xdr:row>629</xdr:row>
                    <xdr:rowOff>48986</xdr:rowOff>
                  </from>
                  <to>
                    <xdr:col>10</xdr:col>
                    <xdr:colOff>0</xdr:colOff>
                    <xdr:row>631</xdr:row>
                    <xdr:rowOff>48986</xdr:rowOff>
                  </to>
                </anchor>
              </controlPr>
            </control>
          </mc:Choice>
        </mc:AlternateContent>
        <mc:AlternateContent xmlns:mc="http://schemas.openxmlformats.org/markup-compatibility/2006">
          <mc:Choice Requires="x14">
            <control shapeId="7081" r:id="rId214" name="Option Button 937">
              <controlPr defaultSize="0" autoFill="0" autoLine="0" autoPict="0">
                <anchor moveWithCells="1">
                  <from>
                    <xdr:col>3</xdr:col>
                    <xdr:colOff>27214</xdr:colOff>
                    <xdr:row>632</xdr:row>
                    <xdr:rowOff>27214</xdr:rowOff>
                  </from>
                  <to>
                    <xdr:col>9</xdr:col>
                    <xdr:colOff>141514</xdr:colOff>
                    <xdr:row>634</xdr:row>
                    <xdr:rowOff>27214</xdr:rowOff>
                  </to>
                </anchor>
              </controlPr>
            </control>
          </mc:Choice>
        </mc:AlternateContent>
        <mc:AlternateContent xmlns:mc="http://schemas.openxmlformats.org/markup-compatibility/2006">
          <mc:Choice Requires="x14">
            <control shapeId="7082" r:id="rId215" name="Group Box 938">
              <controlPr defaultSize="0" autoFill="0" autoPict="0">
                <anchor moveWithCells="1">
                  <from>
                    <xdr:col>3</xdr:col>
                    <xdr:colOff>0</xdr:colOff>
                    <xdr:row>591</xdr:row>
                    <xdr:rowOff>0</xdr:rowOff>
                  </from>
                  <to>
                    <xdr:col>10</xdr:col>
                    <xdr:colOff>103414</xdr:colOff>
                    <xdr:row>610</xdr:row>
                    <xdr:rowOff>0</xdr:rowOff>
                  </to>
                </anchor>
              </controlPr>
            </control>
          </mc:Choice>
        </mc:AlternateContent>
        <mc:AlternateContent xmlns:mc="http://schemas.openxmlformats.org/markup-compatibility/2006">
          <mc:Choice Requires="x14">
            <control shapeId="7083" r:id="rId216" name="Option Button 939">
              <controlPr defaultSize="0" autoFill="0" autoLine="0" autoPict="0">
                <anchor moveWithCells="1">
                  <from>
                    <xdr:col>3</xdr:col>
                    <xdr:colOff>38100</xdr:colOff>
                    <xdr:row>591</xdr:row>
                    <xdr:rowOff>65314</xdr:rowOff>
                  </from>
                  <to>
                    <xdr:col>10</xdr:col>
                    <xdr:colOff>65314</xdr:colOff>
                    <xdr:row>592</xdr:row>
                    <xdr:rowOff>277586</xdr:rowOff>
                  </to>
                </anchor>
              </controlPr>
            </control>
          </mc:Choice>
        </mc:AlternateContent>
        <mc:AlternateContent xmlns:mc="http://schemas.openxmlformats.org/markup-compatibility/2006">
          <mc:Choice Requires="x14">
            <control shapeId="7084" r:id="rId217" name="Option Button 940">
              <controlPr defaultSize="0" autoFill="0" autoLine="0" autoPict="0">
                <anchor moveWithCells="1">
                  <from>
                    <xdr:col>3</xdr:col>
                    <xdr:colOff>38100</xdr:colOff>
                    <xdr:row>594</xdr:row>
                    <xdr:rowOff>38100</xdr:rowOff>
                  </from>
                  <to>
                    <xdr:col>10</xdr:col>
                    <xdr:colOff>103414</xdr:colOff>
                    <xdr:row>595</xdr:row>
                    <xdr:rowOff>266700</xdr:rowOff>
                  </to>
                </anchor>
              </controlPr>
            </control>
          </mc:Choice>
        </mc:AlternateContent>
        <mc:AlternateContent xmlns:mc="http://schemas.openxmlformats.org/markup-compatibility/2006">
          <mc:Choice Requires="x14">
            <control shapeId="7085" r:id="rId218" name="Option Button 941">
              <controlPr defaultSize="0" autoFill="0" autoLine="0" autoPict="0">
                <anchor moveWithCells="1">
                  <from>
                    <xdr:col>3</xdr:col>
                    <xdr:colOff>48986</xdr:colOff>
                    <xdr:row>600</xdr:row>
                    <xdr:rowOff>48986</xdr:rowOff>
                  </from>
                  <to>
                    <xdr:col>10</xdr:col>
                    <xdr:colOff>38100</xdr:colOff>
                    <xdr:row>601</xdr:row>
                    <xdr:rowOff>266700</xdr:rowOff>
                  </to>
                </anchor>
              </controlPr>
            </control>
          </mc:Choice>
        </mc:AlternateContent>
        <mc:AlternateContent xmlns:mc="http://schemas.openxmlformats.org/markup-compatibility/2006">
          <mc:Choice Requires="x14">
            <control shapeId="7086" r:id="rId219" name="Option Button 942">
              <controlPr defaultSize="0" autoFill="0" autoLine="0" autoPict="0">
                <anchor moveWithCells="1">
                  <from>
                    <xdr:col>3</xdr:col>
                    <xdr:colOff>38100</xdr:colOff>
                    <xdr:row>606</xdr:row>
                    <xdr:rowOff>38100</xdr:rowOff>
                  </from>
                  <to>
                    <xdr:col>9</xdr:col>
                    <xdr:colOff>179614</xdr:colOff>
                    <xdr:row>607</xdr:row>
                    <xdr:rowOff>266700</xdr:rowOff>
                  </to>
                </anchor>
              </controlPr>
            </control>
          </mc:Choice>
        </mc:AlternateContent>
        <mc:AlternateContent xmlns:mc="http://schemas.openxmlformats.org/markup-compatibility/2006">
          <mc:Choice Requires="x14">
            <control shapeId="7087" r:id="rId220" name="Option Button 943">
              <controlPr defaultSize="0" autoFill="0" autoLine="0" autoPict="0">
                <anchor moveWithCells="1">
                  <from>
                    <xdr:col>3</xdr:col>
                    <xdr:colOff>38100</xdr:colOff>
                    <xdr:row>608</xdr:row>
                    <xdr:rowOff>48986</xdr:rowOff>
                  </from>
                  <to>
                    <xdr:col>10</xdr:col>
                    <xdr:colOff>38100</xdr:colOff>
                    <xdr:row>609</xdr:row>
                    <xdr:rowOff>277586</xdr:rowOff>
                  </to>
                </anchor>
              </controlPr>
            </control>
          </mc:Choice>
        </mc:AlternateContent>
        <mc:AlternateContent xmlns:mc="http://schemas.openxmlformats.org/markup-compatibility/2006">
          <mc:Choice Requires="x14">
            <control shapeId="7090" r:id="rId221" name="Group Box 946">
              <controlPr defaultSize="0" autoFill="0" autoPict="0">
                <anchor moveWithCells="1">
                  <from>
                    <xdr:col>3</xdr:col>
                    <xdr:colOff>0</xdr:colOff>
                    <xdr:row>614</xdr:row>
                    <xdr:rowOff>0</xdr:rowOff>
                  </from>
                  <to>
                    <xdr:col>10</xdr:col>
                    <xdr:colOff>103414</xdr:colOff>
                    <xdr:row>616</xdr:row>
                    <xdr:rowOff>0</xdr:rowOff>
                  </to>
                </anchor>
              </controlPr>
            </control>
          </mc:Choice>
        </mc:AlternateContent>
        <mc:AlternateContent xmlns:mc="http://schemas.openxmlformats.org/markup-compatibility/2006">
          <mc:Choice Requires="x14">
            <control shapeId="7091" r:id="rId222" name="Check Box 947">
              <controlPr defaultSize="0" autoFill="0" autoLine="0" autoPict="0">
                <anchor moveWithCells="1">
                  <from>
                    <xdr:col>3</xdr:col>
                    <xdr:colOff>65314</xdr:colOff>
                    <xdr:row>475</xdr:row>
                    <xdr:rowOff>38100</xdr:rowOff>
                  </from>
                  <to>
                    <xdr:col>13</xdr:col>
                    <xdr:colOff>10886</xdr:colOff>
                    <xdr:row>476</xdr:row>
                    <xdr:rowOff>255814</xdr:rowOff>
                  </to>
                </anchor>
              </controlPr>
            </control>
          </mc:Choice>
        </mc:AlternateContent>
        <mc:AlternateContent xmlns:mc="http://schemas.openxmlformats.org/markup-compatibility/2006">
          <mc:Choice Requires="x14">
            <control shapeId="7092" r:id="rId223" name="Check Box 948">
              <controlPr defaultSize="0" autoFill="0" autoLine="0" autoPict="0">
                <anchor moveWithCells="1">
                  <from>
                    <xdr:col>3</xdr:col>
                    <xdr:colOff>65314</xdr:colOff>
                    <xdr:row>477</xdr:row>
                    <xdr:rowOff>27214</xdr:rowOff>
                  </from>
                  <to>
                    <xdr:col>12</xdr:col>
                    <xdr:colOff>114300</xdr:colOff>
                    <xdr:row>478</xdr:row>
                    <xdr:rowOff>239486</xdr:rowOff>
                  </to>
                </anchor>
              </controlPr>
            </control>
          </mc:Choice>
        </mc:AlternateContent>
        <mc:AlternateContent xmlns:mc="http://schemas.openxmlformats.org/markup-compatibility/2006">
          <mc:Choice Requires="x14">
            <control shapeId="7093" r:id="rId224" name="Check Box 949">
              <controlPr defaultSize="0" autoFill="0" autoLine="0" autoPict="0">
                <anchor moveWithCells="1">
                  <from>
                    <xdr:col>3</xdr:col>
                    <xdr:colOff>65314</xdr:colOff>
                    <xdr:row>483</xdr:row>
                    <xdr:rowOff>38100</xdr:rowOff>
                  </from>
                  <to>
                    <xdr:col>11</xdr:col>
                    <xdr:colOff>38100</xdr:colOff>
                    <xdr:row>484</xdr:row>
                    <xdr:rowOff>255814</xdr:rowOff>
                  </to>
                </anchor>
              </controlPr>
            </control>
          </mc:Choice>
        </mc:AlternateContent>
        <mc:AlternateContent xmlns:mc="http://schemas.openxmlformats.org/markup-compatibility/2006">
          <mc:Choice Requires="x14">
            <control shapeId="7095" r:id="rId225" name="Check Box 951">
              <controlPr defaultSize="0" autoFill="0" autoLine="0" autoPict="0">
                <anchor moveWithCells="1">
                  <from>
                    <xdr:col>3</xdr:col>
                    <xdr:colOff>65314</xdr:colOff>
                    <xdr:row>479</xdr:row>
                    <xdr:rowOff>38100</xdr:rowOff>
                  </from>
                  <to>
                    <xdr:col>13</xdr:col>
                    <xdr:colOff>76200</xdr:colOff>
                    <xdr:row>480</xdr:row>
                    <xdr:rowOff>255814</xdr:rowOff>
                  </to>
                </anchor>
              </controlPr>
            </control>
          </mc:Choice>
        </mc:AlternateContent>
        <mc:AlternateContent xmlns:mc="http://schemas.openxmlformats.org/markup-compatibility/2006">
          <mc:Choice Requires="x14">
            <control shapeId="7096" r:id="rId226" name="Check Box 952">
              <controlPr defaultSize="0" autoFill="0" autoLine="0" autoPict="0">
                <anchor moveWithCells="1">
                  <from>
                    <xdr:col>3</xdr:col>
                    <xdr:colOff>65314</xdr:colOff>
                    <xdr:row>481</xdr:row>
                    <xdr:rowOff>76200</xdr:rowOff>
                  </from>
                  <to>
                    <xdr:col>11</xdr:col>
                    <xdr:colOff>114300</xdr:colOff>
                    <xdr:row>483</xdr:row>
                    <xdr:rowOff>0</xdr:rowOff>
                  </to>
                </anchor>
              </controlPr>
            </control>
          </mc:Choice>
        </mc:AlternateContent>
        <mc:AlternateContent xmlns:mc="http://schemas.openxmlformats.org/markup-compatibility/2006">
          <mc:Choice Requires="x14">
            <control shapeId="7097" r:id="rId227" name="Check Box 953">
              <controlPr defaultSize="0" autoFill="0" autoLine="0" autoPict="0">
                <anchor moveWithCells="1">
                  <from>
                    <xdr:col>3</xdr:col>
                    <xdr:colOff>65314</xdr:colOff>
                    <xdr:row>485</xdr:row>
                    <xdr:rowOff>27214</xdr:rowOff>
                  </from>
                  <to>
                    <xdr:col>12</xdr:col>
                    <xdr:colOff>163286</xdr:colOff>
                    <xdr:row>486</xdr:row>
                    <xdr:rowOff>239486</xdr:rowOff>
                  </to>
                </anchor>
              </controlPr>
            </control>
          </mc:Choice>
        </mc:AlternateContent>
        <mc:AlternateContent xmlns:mc="http://schemas.openxmlformats.org/markup-compatibility/2006">
          <mc:Choice Requires="x14">
            <control shapeId="7099" r:id="rId228" name="Option Button 955">
              <controlPr defaultSize="0" autoFill="0" autoLine="0" autoPict="0">
                <anchor moveWithCells="1">
                  <from>
                    <xdr:col>3</xdr:col>
                    <xdr:colOff>27214</xdr:colOff>
                    <xdr:row>234</xdr:row>
                    <xdr:rowOff>582386</xdr:rowOff>
                  </from>
                  <to>
                    <xdr:col>10</xdr:col>
                    <xdr:colOff>10886</xdr:colOff>
                    <xdr:row>234</xdr:row>
                    <xdr:rowOff>876300</xdr:rowOff>
                  </to>
                </anchor>
              </controlPr>
            </control>
          </mc:Choice>
        </mc:AlternateContent>
        <mc:AlternateContent xmlns:mc="http://schemas.openxmlformats.org/markup-compatibility/2006">
          <mc:Choice Requires="x14">
            <control shapeId="7108" r:id="rId229" name="Option Button 964">
              <controlPr defaultSize="0" autoFill="0" autoLine="0" autoPict="0">
                <anchor moveWithCells="1">
                  <from>
                    <xdr:col>3</xdr:col>
                    <xdr:colOff>38100</xdr:colOff>
                    <xdr:row>146</xdr:row>
                    <xdr:rowOff>38100</xdr:rowOff>
                  </from>
                  <to>
                    <xdr:col>10</xdr:col>
                    <xdr:colOff>27214</xdr:colOff>
                    <xdr:row>146</xdr:row>
                    <xdr:rowOff>332014</xdr:rowOff>
                  </to>
                </anchor>
              </controlPr>
            </control>
          </mc:Choice>
        </mc:AlternateContent>
        <mc:AlternateContent xmlns:mc="http://schemas.openxmlformats.org/markup-compatibility/2006">
          <mc:Choice Requires="x14">
            <control shapeId="7110" r:id="rId230" name="Option Button 966">
              <controlPr defaultSize="0" autoFill="0" autoLine="0" autoPict="0">
                <anchor moveWithCells="1">
                  <from>
                    <xdr:col>3</xdr:col>
                    <xdr:colOff>38100</xdr:colOff>
                    <xdr:row>147</xdr:row>
                    <xdr:rowOff>48986</xdr:rowOff>
                  </from>
                  <to>
                    <xdr:col>10</xdr:col>
                    <xdr:colOff>27214</xdr:colOff>
                    <xdr:row>149</xdr:row>
                    <xdr:rowOff>27214</xdr:rowOff>
                  </to>
                </anchor>
              </controlPr>
            </control>
          </mc:Choice>
        </mc:AlternateContent>
        <mc:AlternateContent xmlns:mc="http://schemas.openxmlformats.org/markup-compatibility/2006">
          <mc:Choice Requires="x14">
            <control shapeId="7111" r:id="rId231" name="Option Button 967">
              <controlPr defaultSize="0" autoFill="0" autoLine="0" autoPict="0">
                <anchor moveWithCells="1">
                  <from>
                    <xdr:col>3</xdr:col>
                    <xdr:colOff>38100</xdr:colOff>
                    <xdr:row>91</xdr:row>
                    <xdr:rowOff>38100</xdr:rowOff>
                  </from>
                  <to>
                    <xdr:col>10</xdr:col>
                    <xdr:colOff>27214</xdr:colOff>
                    <xdr:row>93</xdr:row>
                    <xdr:rowOff>27214</xdr:rowOff>
                  </to>
                </anchor>
              </controlPr>
            </control>
          </mc:Choice>
        </mc:AlternateContent>
        <mc:AlternateContent xmlns:mc="http://schemas.openxmlformats.org/markup-compatibility/2006">
          <mc:Choice Requires="x14">
            <control shapeId="7112" r:id="rId232" name="Option Button 968">
              <controlPr defaultSize="0" autoFill="0" autoLine="0" autoPict="0">
                <anchor moveWithCells="1">
                  <from>
                    <xdr:col>3</xdr:col>
                    <xdr:colOff>38100</xdr:colOff>
                    <xdr:row>93</xdr:row>
                    <xdr:rowOff>48986</xdr:rowOff>
                  </from>
                  <to>
                    <xdr:col>10</xdr:col>
                    <xdr:colOff>27214</xdr:colOff>
                    <xdr:row>95</xdr:row>
                    <xdr:rowOff>27214</xdr:rowOff>
                  </to>
                </anchor>
              </controlPr>
            </control>
          </mc:Choice>
        </mc:AlternateContent>
        <mc:AlternateContent xmlns:mc="http://schemas.openxmlformats.org/markup-compatibility/2006">
          <mc:Choice Requires="x14">
            <control shapeId="7113" r:id="rId233" name="Option Button 969">
              <controlPr defaultSize="0" autoFill="0" autoLine="0" autoPict="0">
                <anchor moveWithCells="1">
                  <from>
                    <xdr:col>3</xdr:col>
                    <xdr:colOff>38100</xdr:colOff>
                    <xdr:row>95</xdr:row>
                    <xdr:rowOff>38100</xdr:rowOff>
                  </from>
                  <to>
                    <xdr:col>10</xdr:col>
                    <xdr:colOff>27214</xdr:colOff>
                    <xdr:row>97</xdr:row>
                    <xdr:rowOff>27214</xdr:rowOff>
                  </to>
                </anchor>
              </controlPr>
            </control>
          </mc:Choice>
        </mc:AlternateContent>
        <mc:AlternateContent xmlns:mc="http://schemas.openxmlformats.org/markup-compatibility/2006">
          <mc:Choice Requires="x14">
            <control shapeId="7114" r:id="rId234" name="Option Button 970">
              <controlPr defaultSize="0" autoFill="0" autoLine="0" autoPict="0">
                <anchor moveWithCells="1">
                  <from>
                    <xdr:col>3</xdr:col>
                    <xdr:colOff>38100</xdr:colOff>
                    <xdr:row>579</xdr:row>
                    <xdr:rowOff>65314</xdr:rowOff>
                  </from>
                  <to>
                    <xdr:col>10</xdr:col>
                    <xdr:colOff>27214</xdr:colOff>
                    <xdr:row>580</xdr:row>
                    <xdr:rowOff>266700</xdr:rowOff>
                  </to>
                </anchor>
              </controlPr>
            </control>
          </mc:Choice>
        </mc:AlternateContent>
        <mc:AlternateContent xmlns:mc="http://schemas.openxmlformats.org/markup-compatibility/2006">
          <mc:Choice Requires="x14">
            <control shapeId="7115" r:id="rId235" name="Option Button 971">
              <controlPr defaultSize="0" autoFill="0" autoLine="0" autoPict="0">
                <anchor moveWithCells="1">
                  <from>
                    <xdr:col>3</xdr:col>
                    <xdr:colOff>38100</xdr:colOff>
                    <xdr:row>569</xdr:row>
                    <xdr:rowOff>48986</xdr:rowOff>
                  </from>
                  <to>
                    <xdr:col>10</xdr:col>
                    <xdr:colOff>27214</xdr:colOff>
                    <xdr:row>571</xdr:row>
                    <xdr:rowOff>27214</xdr:rowOff>
                  </to>
                </anchor>
              </controlPr>
            </control>
          </mc:Choice>
        </mc:AlternateContent>
        <mc:AlternateContent xmlns:mc="http://schemas.openxmlformats.org/markup-compatibility/2006">
          <mc:Choice Requires="x14">
            <control shapeId="7116" r:id="rId236" name="Option Button 972">
              <controlPr defaultSize="0" autoFill="0" autoLine="0" autoPict="0">
                <anchor moveWithCells="1">
                  <from>
                    <xdr:col>3</xdr:col>
                    <xdr:colOff>38100</xdr:colOff>
                    <xdr:row>595</xdr:row>
                    <xdr:rowOff>1191986</xdr:rowOff>
                  </from>
                  <to>
                    <xdr:col>10</xdr:col>
                    <xdr:colOff>27214</xdr:colOff>
                    <xdr:row>595</xdr:row>
                    <xdr:rowOff>1475014</xdr:rowOff>
                  </to>
                </anchor>
              </controlPr>
            </control>
          </mc:Choice>
        </mc:AlternateContent>
        <mc:AlternateContent xmlns:mc="http://schemas.openxmlformats.org/markup-compatibility/2006">
          <mc:Choice Requires="x14">
            <control shapeId="7117" r:id="rId237" name="Option Button 973">
              <controlPr defaultSize="0" autoFill="0" autoLine="0" autoPict="0">
                <anchor moveWithCells="1">
                  <from>
                    <xdr:col>3</xdr:col>
                    <xdr:colOff>38100</xdr:colOff>
                    <xdr:row>601</xdr:row>
                    <xdr:rowOff>598714</xdr:rowOff>
                  </from>
                  <to>
                    <xdr:col>9</xdr:col>
                    <xdr:colOff>103414</xdr:colOff>
                    <xdr:row>601</xdr:row>
                    <xdr:rowOff>887186</xdr:rowOff>
                  </to>
                </anchor>
              </controlPr>
            </control>
          </mc:Choice>
        </mc:AlternateContent>
        <mc:AlternateContent xmlns:mc="http://schemas.openxmlformats.org/markup-compatibility/2006">
          <mc:Choice Requires="x14">
            <control shapeId="7118" r:id="rId238" name="Check Box 974">
              <controlPr defaultSize="0" autoFill="0" autoLine="0" autoPict="0">
                <anchor moveWithCells="1">
                  <from>
                    <xdr:col>3</xdr:col>
                    <xdr:colOff>48986</xdr:colOff>
                    <xdr:row>613</xdr:row>
                    <xdr:rowOff>65314</xdr:rowOff>
                  </from>
                  <to>
                    <xdr:col>9</xdr:col>
                    <xdr:colOff>27214</xdr:colOff>
                    <xdr:row>615</xdr:row>
                    <xdr:rowOff>10886</xdr:rowOff>
                  </to>
                </anchor>
              </controlPr>
            </control>
          </mc:Choice>
        </mc:AlternateContent>
        <mc:AlternateContent xmlns:mc="http://schemas.openxmlformats.org/markup-compatibility/2006">
          <mc:Choice Requires="x14">
            <control shapeId="7119" r:id="rId239" name="Check Box 975">
              <controlPr defaultSize="0" autoFill="0" autoLine="0" autoPict="0">
                <anchor moveWithCells="1">
                  <from>
                    <xdr:col>3</xdr:col>
                    <xdr:colOff>65314</xdr:colOff>
                    <xdr:row>487</xdr:row>
                    <xdr:rowOff>48986</xdr:rowOff>
                  </from>
                  <to>
                    <xdr:col>11</xdr:col>
                    <xdr:colOff>76200</xdr:colOff>
                    <xdr:row>489</xdr:row>
                    <xdr:rowOff>10886</xdr:rowOff>
                  </to>
                </anchor>
              </controlPr>
            </control>
          </mc:Choice>
        </mc:AlternateContent>
        <mc:AlternateContent xmlns:mc="http://schemas.openxmlformats.org/markup-compatibility/2006">
          <mc:Choice Requires="x14">
            <control shapeId="7120" r:id="rId240" name="Option Button 976">
              <controlPr defaultSize="0" autoFill="0" autoLine="0" autoPict="0" macro="[0]!OptionButton976_Click">
                <anchor moveWithCells="1">
                  <from>
                    <xdr:col>3</xdr:col>
                    <xdr:colOff>38100</xdr:colOff>
                    <xdr:row>664</xdr:row>
                    <xdr:rowOff>38100</xdr:rowOff>
                  </from>
                  <to>
                    <xdr:col>10</xdr:col>
                    <xdr:colOff>27214</xdr:colOff>
                    <xdr:row>666</xdr:row>
                    <xdr:rowOff>27214</xdr:rowOff>
                  </to>
                </anchor>
              </controlPr>
            </control>
          </mc:Choice>
        </mc:AlternateContent>
        <mc:AlternateContent xmlns:mc="http://schemas.openxmlformats.org/markup-compatibility/2006">
          <mc:Choice Requires="x14">
            <control shapeId="7122" r:id="rId241" name="Option Button 978">
              <controlPr defaultSize="0" autoFill="0" autoLine="0" autoPict="0">
                <anchor moveWithCells="1">
                  <from>
                    <xdr:col>3</xdr:col>
                    <xdr:colOff>48986</xdr:colOff>
                    <xdr:row>644</xdr:row>
                    <xdr:rowOff>65314</xdr:rowOff>
                  </from>
                  <to>
                    <xdr:col>10</xdr:col>
                    <xdr:colOff>38100</xdr:colOff>
                    <xdr:row>646</xdr:row>
                    <xdr:rowOff>10886</xdr:rowOff>
                  </to>
                </anchor>
              </controlPr>
            </control>
          </mc:Choice>
        </mc:AlternateContent>
        <mc:AlternateContent xmlns:mc="http://schemas.openxmlformats.org/markup-compatibility/2006">
          <mc:Choice Requires="x14">
            <control shapeId="7124" r:id="rId242" name="Option Button 980">
              <controlPr defaultSize="0" autoFill="0" autoLine="0" autoPict="0">
                <anchor moveWithCells="1">
                  <from>
                    <xdr:col>3</xdr:col>
                    <xdr:colOff>38100</xdr:colOff>
                    <xdr:row>714</xdr:row>
                    <xdr:rowOff>65314</xdr:rowOff>
                  </from>
                  <to>
                    <xdr:col>9</xdr:col>
                    <xdr:colOff>152400</xdr:colOff>
                    <xdr:row>715</xdr:row>
                    <xdr:rowOff>277586</xdr:rowOff>
                  </to>
                </anchor>
              </controlPr>
            </control>
          </mc:Choice>
        </mc:AlternateContent>
        <mc:AlternateContent xmlns:mc="http://schemas.openxmlformats.org/markup-compatibility/2006">
          <mc:Choice Requires="x14">
            <control shapeId="7125" r:id="rId243" name="Option Button 981">
              <controlPr defaultSize="0" autoFill="0" autoLine="0" autoPict="0">
                <anchor moveWithCells="1">
                  <from>
                    <xdr:col>3</xdr:col>
                    <xdr:colOff>38100</xdr:colOff>
                    <xdr:row>716</xdr:row>
                    <xdr:rowOff>65314</xdr:rowOff>
                  </from>
                  <to>
                    <xdr:col>10</xdr:col>
                    <xdr:colOff>48986</xdr:colOff>
                    <xdr:row>717</xdr:row>
                    <xdr:rowOff>293914</xdr:rowOff>
                  </to>
                </anchor>
              </controlPr>
            </control>
          </mc:Choice>
        </mc:AlternateContent>
        <mc:AlternateContent xmlns:mc="http://schemas.openxmlformats.org/markup-compatibility/2006">
          <mc:Choice Requires="x14">
            <control shapeId="7126" r:id="rId244" name="Option Button 982">
              <controlPr defaultSize="0" autoFill="0" autoLine="0" autoPict="0" macro="[0]!OptionButton982_Click">
                <anchor moveWithCells="1">
                  <from>
                    <xdr:col>3</xdr:col>
                    <xdr:colOff>38100</xdr:colOff>
                    <xdr:row>718</xdr:row>
                    <xdr:rowOff>48986</xdr:rowOff>
                  </from>
                  <to>
                    <xdr:col>10</xdr:col>
                    <xdr:colOff>27214</xdr:colOff>
                    <xdr:row>719</xdr:row>
                    <xdr:rowOff>266700</xdr:rowOff>
                  </to>
                </anchor>
              </controlPr>
            </control>
          </mc:Choice>
        </mc:AlternateContent>
        <mc:AlternateContent xmlns:mc="http://schemas.openxmlformats.org/markup-compatibility/2006">
          <mc:Choice Requires="x14">
            <control shapeId="7127" r:id="rId245" name="Option Button 983">
              <controlPr defaultSize="0" autoFill="0" autoLine="0" autoPict="0">
                <anchor moveWithCells="1">
                  <from>
                    <xdr:col>3</xdr:col>
                    <xdr:colOff>38100</xdr:colOff>
                    <xdr:row>720</xdr:row>
                    <xdr:rowOff>48986</xdr:rowOff>
                  </from>
                  <to>
                    <xdr:col>10</xdr:col>
                    <xdr:colOff>27214</xdr:colOff>
                    <xdr:row>722</xdr:row>
                    <xdr:rowOff>0</xdr:rowOff>
                  </to>
                </anchor>
              </controlPr>
            </control>
          </mc:Choice>
        </mc:AlternateContent>
        <mc:AlternateContent xmlns:mc="http://schemas.openxmlformats.org/markup-compatibility/2006">
          <mc:Choice Requires="x14">
            <control shapeId="7128" r:id="rId246" name="Option Button 984">
              <controlPr defaultSize="0" autoFill="0" autoLine="0" autoPict="0">
                <anchor moveWithCells="1">
                  <from>
                    <xdr:col>3</xdr:col>
                    <xdr:colOff>38100</xdr:colOff>
                    <xdr:row>722</xdr:row>
                    <xdr:rowOff>48986</xdr:rowOff>
                  </from>
                  <to>
                    <xdr:col>10</xdr:col>
                    <xdr:colOff>38100</xdr:colOff>
                    <xdr:row>724</xdr:row>
                    <xdr:rowOff>0</xdr:rowOff>
                  </to>
                </anchor>
              </controlPr>
            </control>
          </mc:Choice>
        </mc:AlternateContent>
        <mc:AlternateContent xmlns:mc="http://schemas.openxmlformats.org/markup-compatibility/2006">
          <mc:Choice Requires="x14">
            <control shapeId="7129" r:id="rId247" name="Option Button 985">
              <controlPr defaultSize="0" autoFill="0" autoLine="0" autoPict="0">
                <anchor moveWithCells="1">
                  <from>
                    <xdr:col>3</xdr:col>
                    <xdr:colOff>38100</xdr:colOff>
                    <xdr:row>715</xdr:row>
                    <xdr:rowOff>381000</xdr:rowOff>
                  </from>
                  <to>
                    <xdr:col>10</xdr:col>
                    <xdr:colOff>27214</xdr:colOff>
                    <xdr:row>715</xdr:row>
                    <xdr:rowOff>658586</xdr:rowOff>
                  </to>
                </anchor>
              </controlPr>
            </control>
          </mc:Choice>
        </mc:AlternateContent>
        <mc:AlternateContent xmlns:mc="http://schemas.openxmlformats.org/markup-compatibility/2006">
          <mc:Choice Requires="x14">
            <control shapeId="7130" r:id="rId248" name="Option Button 986">
              <controlPr defaultSize="0" autoFill="0" autoLine="0" autoPict="0">
                <anchor moveWithCells="1">
                  <from>
                    <xdr:col>3</xdr:col>
                    <xdr:colOff>38100</xdr:colOff>
                    <xdr:row>717</xdr:row>
                    <xdr:rowOff>370114</xdr:rowOff>
                  </from>
                  <to>
                    <xdr:col>10</xdr:col>
                    <xdr:colOff>27214</xdr:colOff>
                    <xdr:row>717</xdr:row>
                    <xdr:rowOff>647700</xdr:rowOff>
                  </to>
                </anchor>
              </controlPr>
            </control>
          </mc:Choice>
        </mc:AlternateContent>
        <mc:AlternateContent xmlns:mc="http://schemas.openxmlformats.org/markup-compatibility/2006">
          <mc:Choice Requires="x14">
            <control shapeId="7131" r:id="rId249" name="Option Button 987">
              <controlPr defaultSize="0" autoFill="0" autoLine="0" autoPict="0">
                <anchor moveWithCells="1">
                  <from>
                    <xdr:col>3</xdr:col>
                    <xdr:colOff>38100</xdr:colOff>
                    <xdr:row>719</xdr:row>
                    <xdr:rowOff>979714</xdr:rowOff>
                  </from>
                  <to>
                    <xdr:col>10</xdr:col>
                    <xdr:colOff>27214</xdr:colOff>
                    <xdr:row>719</xdr:row>
                    <xdr:rowOff>1257300</xdr:rowOff>
                  </to>
                </anchor>
              </controlPr>
            </control>
          </mc:Choice>
        </mc:AlternateContent>
        <mc:AlternateContent xmlns:mc="http://schemas.openxmlformats.org/markup-compatibility/2006">
          <mc:Choice Requires="x14">
            <control shapeId="7132" r:id="rId250" name="Group Box 988">
              <controlPr defaultSize="0" autoFill="0" autoPict="0">
                <anchor moveWithCells="1">
                  <from>
                    <xdr:col>2</xdr:col>
                    <xdr:colOff>152400</xdr:colOff>
                    <xdr:row>714</xdr:row>
                    <xdr:rowOff>10886</xdr:rowOff>
                  </from>
                  <to>
                    <xdr:col>10</xdr:col>
                    <xdr:colOff>114300</xdr:colOff>
                    <xdr:row>724</xdr:row>
                    <xdr:rowOff>65314</xdr:rowOff>
                  </to>
                </anchor>
              </controlPr>
            </control>
          </mc:Choice>
        </mc:AlternateContent>
        <mc:AlternateContent xmlns:mc="http://schemas.openxmlformats.org/markup-compatibility/2006">
          <mc:Choice Requires="x14">
            <control shapeId="7135" r:id="rId251" name="Check Box 991">
              <controlPr defaultSize="0" autoFill="0" autoLine="0" autoPict="0">
                <anchor moveWithCells="1">
                  <from>
                    <xdr:col>14</xdr:col>
                    <xdr:colOff>38100</xdr:colOff>
                    <xdr:row>50</xdr:row>
                    <xdr:rowOff>38100</xdr:rowOff>
                  </from>
                  <to>
                    <xdr:col>22</xdr:col>
                    <xdr:colOff>114300</xdr:colOff>
                    <xdr:row>52</xdr:row>
                    <xdr:rowOff>0</xdr:rowOff>
                  </to>
                </anchor>
              </controlPr>
            </control>
          </mc:Choice>
        </mc:AlternateContent>
        <mc:AlternateContent xmlns:mc="http://schemas.openxmlformats.org/markup-compatibility/2006">
          <mc:Choice Requires="x14">
            <control shapeId="7136" r:id="rId252" name="Check Box 992">
              <controlPr defaultSize="0" autoFill="0" autoLine="0" autoPict="0">
                <anchor moveWithCells="1">
                  <from>
                    <xdr:col>22</xdr:col>
                    <xdr:colOff>163286</xdr:colOff>
                    <xdr:row>50</xdr:row>
                    <xdr:rowOff>48986</xdr:rowOff>
                  </from>
                  <to>
                    <xdr:col>28</xdr:col>
                    <xdr:colOff>152400</xdr:colOff>
                    <xdr:row>52</xdr:row>
                    <xdr:rowOff>10886</xdr:rowOff>
                  </to>
                </anchor>
              </controlPr>
            </control>
          </mc:Choice>
        </mc:AlternateContent>
        <mc:AlternateContent xmlns:mc="http://schemas.openxmlformats.org/markup-compatibility/2006">
          <mc:Choice Requires="x14">
            <control shapeId="7137" r:id="rId253" name="Check Box 993">
              <controlPr defaultSize="0" autoFill="0" autoLine="0" autoPict="0">
                <anchor moveWithCells="1">
                  <from>
                    <xdr:col>29</xdr:col>
                    <xdr:colOff>10886</xdr:colOff>
                    <xdr:row>50</xdr:row>
                    <xdr:rowOff>48986</xdr:rowOff>
                  </from>
                  <to>
                    <xdr:col>36</xdr:col>
                    <xdr:colOff>48986</xdr:colOff>
                    <xdr:row>52</xdr:row>
                    <xdr:rowOff>10886</xdr:rowOff>
                  </to>
                </anchor>
              </controlPr>
            </control>
          </mc:Choice>
        </mc:AlternateContent>
        <mc:AlternateContent xmlns:mc="http://schemas.openxmlformats.org/markup-compatibility/2006">
          <mc:Choice Requires="x14">
            <control shapeId="7138" r:id="rId254" name="Check Box 994">
              <controlPr defaultSize="0" autoFill="0" autoLine="0" autoPict="0">
                <anchor moveWithCells="1">
                  <from>
                    <xdr:col>36</xdr:col>
                    <xdr:colOff>125186</xdr:colOff>
                    <xdr:row>50</xdr:row>
                    <xdr:rowOff>48986</xdr:rowOff>
                  </from>
                  <to>
                    <xdr:col>44</xdr:col>
                    <xdr:colOff>125186</xdr:colOff>
                    <xdr:row>52</xdr:row>
                    <xdr:rowOff>10886</xdr:rowOff>
                  </to>
                </anchor>
              </controlPr>
            </control>
          </mc:Choice>
        </mc:AlternateContent>
        <mc:AlternateContent xmlns:mc="http://schemas.openxmlformats.org/markup-compatibility/2006">
          <mc:Choice Requires="x14">
            <control shapeId="7140" r:id="rId255" name="Check Box 996">
              <controlPr defaultSize="0" autoFill="0" autoLine="0" autoPict="0">
                <anchor moveWithCells="1">
                  <from>
                    <xdr:col>14</xdr:col>
                    <xdr:colOff>38100</xdr:colOff>
                    <xdr:row>52</xdr:row>
                    <xdr:rowOff>48986</xdr:rowOff>
                  </from>
                  <to>
                    <xdr:col>19</xdr:col>
                    <xdr:colOff>103414</xdr:colOff>
                    <xdr:row>54</xdr:row>
                    <xdr:rowOff>10886</xdr:rowOff>
                  </to>
                </anchor>
              </controlPr>
            </control>
          </mc:Choice>
        </mc:AlternateContent>
        <mc:AlternateContent xmlns:mc="http://schemas.openxmlformats.org/markup-compatibility/2006">
          <mc:Choice Requires="x14">
            <control shapeId="7141" r:id="rId256" name="Check Box 997">
              <controlPr defaultSize="0" autoFill="0" autoLine="0" autoPict="0">
                <anchor moveWithCells="1">
                  <from>
                    <xdr:col>20</xdr:col>
                    <xdr:colOff>27214</xdr:colOff>
                    <xdr:row>52</xdr:row>
                    <xdr:rowOff>65314</xdr:rowOff>
                  </from>
                  <to>
                    <xdr:col>25</xdr:col>
                    <xdr:colOff>190500</xdr:colOff>
                    <xdr:row>54</xdr:row>
                    <xdr:rowOff>10886</xdr:rowOff>
                  </to>
                </anchor>
              </controlPr>
            </control>
          </mc:Choice>
        </mc:AlternateContent>
        <mc:AlternateContent xmlns:mc="http://schemas.openxmlformats.org/markup-compatibility/2006">
          <mc:Choice Requires="x14">
            <control shapeId="7143" r:id="rId257" name="Check Box 999">
              <controlPr defaultSize="0" autoFill="0" autoLine="0" autoPict="0">
                <anchor moveWithCells="1">
                  <from>
                    <xdr:col>35</xdr:col>
                    <xdr:colOff>87086</xdr:colOff>
                    <xdr:row>52</xdr:row>
                    <xdr:rowOff>48986</xdr:rowOff>
                  </from>
                  <to>
                    <xdr:col>44</xdr:col>
                    <xdr:colOff>0</xdr:colOff>
                    <xdr:row>54</xdr:row>
                    <xdr:rowOff>10886</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811"/>
  <sheetViews>
    <sheetView showZeros="0" topLeftCell="A25" workbookViewId="0">
      <selection activeCell="AU33" sqref="AU33"/>
    </sheetView>
  </sheetViews>
  <sheetFormatPr defaultColWidth="2.4609375" defaultRowHeight="12.45" x14ac:dyDescent="0.3"/>
  <cols>
    <col min="1" max="1" width="2.69140625" style="109" customWidth="1"/>
    <col min="2" max="4" width="2.4609375" style="109"/>
    <col min="5" max="7" width="2.4609375" style="109" customWidth="1"/>
    <col min="8" max="8" width="2.4609375" style="109"/>
    <col min="9" max="9" width="2.4609375" style="109" customWidth="1"/>
    <col min="10" max="10" width="2.4609375" style="109"/>
    <col min="11" max="11" width="2.4609375" style="109" customWidth="1"/>
    <col min="12" max="15" width="2.4609375" style="109"/>
    <col min="16" max="17" width="2.4609375" style="109" customWidth="1"/>
    <col min="18" max="19" width="2.4609375" style="109"/>
    <col min="20" max="20" width="2.69140625" style="109" customWidth="1"/>
    <col min="21" max="22" width="2.4609375" style="109"/>
    <col min="23" max="25" width="2.4609375" style="109" customWidth="1"/>
    <col min="26" max="26" width="2.69140625" style="109" customWidth="1"/>
    <col min="27" max="28" width="2.4609375" style="109"/>
    <col min="29" max="29" width="2.4609375" style="109" customWidth="1"/>
    <col min="30" max="34" width="2.4609375" style="109"/>
    <col min="35" max="35" width="2.4609375" style="109" customWidth="1"/>
    <col min="36" max="45" width="2.4609375" style="109"/>
    <col min="46" max="48" width="2.4609375" style="109" customWidth="1"/>
    <col min="49" max="16384" width="2.4609375" style="109"/>
  </cols>
  <sheetData>
    <row r="1" spans="1:61" x14ac:dyDescent="0.3">
      <c r="A1" s="110"/>
      <c r="B1" s="853" t="s">
        <v>931</v>
      </c>
      <c r="C1" s="853"/>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853"/>
      <c r="AM1" s="853"/>
      <c r="AN1" s="853"/>
      <c r="AO1" s="853"/>
      <c r="AP1" s="853"/>
      <c r="AQ1" s="853"/>
      <c r="AR1" s="853"/>
      <c r="AS1" s="852"/>
      <c r="AT1" s="852"/>
    </row>
    <row r="2" spans="1:61" ht="15.75" customHeight="1" x14ac:dyDescent="0.3">
      <c r="A2" s="110"/>
      <c r="B2" s="853"/>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row>
    <row r="3" spans="1:61" ht="15.75" customHeight="1" x14ac:dyDescent="0.3">
      <c r="A3" s="110"/>
      <c r="B3" s="178"/>
      <c r="C3" s="178"/>
      <c r="D3" s="178"/>
      <c r="E3" s="178"/>
      <c r="F3" s="178"/>
      <c r="G3" s="62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709" t="str">
        <f>START!AO1</f>
        <v>version 7.1.01</v>
      </c>
      <c r="AO3" s="709"/>
      <c r="AP3" s="709"/>
      <c r="AQ3" s="709"/>
      <c r="AR3" s="709"/>
      <c r="AS3" s="176"/>
      <c r="AT3" s="176"/>
    </row>
    <row r="4" spans="1:61" ht="13.5" customHeight="1" x14ac:dyDescent="0.3">
      <c r="A4" s="110"/>
      <c r="B4" s="177"/>
      <c r="C4" s="173" t="s">
        <v>930</v>
      </c>
      <c r="D4" s="177"/>
      <c r="E4" s="177"/>
      <c r="F4" s="177"/>
      <c r="G4" s="841" t="str">
        <f>IF(calculations!B3=3,START!G13,"")</f>
        <v/>
      </c>
      <c r="H4" s="842"/>
      <c r="I4" s="842"/>
      <c r="J4" s="842"/>
      <c r="K4" s="842"/>
      <c r="L4" s="842"/>
      <c r="M4" s="842"/>
      <c r="N4" s="842"/>
      <c r="O4" s="842"/>
      <c r="P4" s="842"/>
      <c r="Q4" s="842"/>
      <c r="R4" s="842"/>
      <c r="S4" s="842"/>
      <c r="T4" s="842"/>
      <c r="U4" s="842"/>
      <c r="V4" s="842"/>
      <c r="W4" s="842"/>
      <c r="X4" s="842"/>
      <c r="Y4" s="842"/>
      <c r="Z4" s="842"/>
      <c r="AA4" s="843"/>
      <c r="AB4" s="608" t="s">
        <v>189</v>
      </c>
      <c r="AC4" s="841" t="str">
        <f>IF(calculations!B3=3,START!AC13,"")</f>
        <v/>
      </c>
      <c r="AD4" s="842"/>
      <c r="AE4" s="843"/>
      <c r="AF4" s="609"/>
      <c r="AG4" s="760" t="str">
        <f>IF(calculations!B3=3,START!AG13,"TITLE")</f>
        <v>TITLE</v>
      </c>
      <c r="AH4" s="760"/>
      <c r="AI4" s="760"/>
      <c r="AJ4" s="838" t="str">
        <f>IF(calculations!B3=3,START!AJ13,"")</f>
        <v/>
      </c>
      <c r="AK4" s="839"/>
      <c r="AL4" s="839"/>
      <c r="AM4" s="839"/>
      <c r="AN4" s="839"/>
      <c r="AO4" s="839"/>
      <c r="AP4" s="839"/>
      <c r="AQ4" s="839"/>
      <c r="AR4" s="840"/>
      <c r="AS4" s="176"/>
      <c r="AT4" s="176"/>
    </row>
    <row r="5" spans="1:61" ht="4.5" customHeight="1" x14ac:dyDescent="0.3">
      <c r="A5" s="110"/>
      <c r="B5" s="110"/>
      <c r="C5" s="110"/>
      <c r="D5" s="110"/>
      <c r="E5" s="110"/>
      <c r="F5" s="115"/>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row>
    <row r="6" spans="1:61" x14ac:dyDescent="0.3">
      <c r="A6" s="113"/>
      <c r="B6" s="113"/>
      <c r="C6" s="173" t="str">
        <f>IF(calculations!B3=2,"ASS'N",IF(calculations!B3=1,"ORG'N",""))</f>
        <v/>
      </c>
      <c r="D6" s="116"/>
      <c r="E6" s="113"/>
      <c r="F6" s="160"/>
      <c r="G6" s="854" t="str">
        <f>IF(calculations!B3&lt;3,START!G13,"")</f>
        <v/>
      </c>
      <c r="H6" s="855"/>
      <c r="I6" s="855"/>
      <c r="J6" s="855"/>
      <c r="K6" s="855"/>
      <c r="L6" s="855"/>
      <c r="M6" s="855"/>
      <c r="N6" s="855"/>
      <c r="O6" s="855"/>
      <c r="P6" s="855"/>
      <c r="Q6" s="855"/>
      <c r="R6" s="855"/>
      <c r="S6" s="855"/>
      <c r="T6" s="855"/>
      <c r="U6" s="855"/>
      <c r="V6" s="855"/>
      <c r="W6" s="855"/>
      <c r="X6" s="855"/>
      <c r="Y6" s="855"/>
      <c r="Z6" s="855"/>
      <c r="AA6" s="856"/>
      <c r="AB6" s="608" t="str">
        <f>IF(calculations!B3&lt;3,"#","")</f>
        <v>#</v>
      </c>
      <c r="AC6" s="854">
        <f>IF(calculations!B3&lt;3,START!R7,"")</f>
        <v>0</v>
      </c>
      <c r="AD6" s="855"/>
      <c r="AE6" s="856"/>
      <c r="AF6" s="171"/>
      <c r="AG6" s="760" t="str">
        <f>IF(calculations!B3=3,START!AG15,"TITLE")</f>
        <v>TITLE</v>
      </c>
      <c r="AH6" s="760"/>
      <c r="AI6" s="760"/>
      <c r="AJ6" s="838" t="str">
        <f>IF(calculations!B3=3,START!AJ15,"")</f>
        <v/>
      </c>
      <c r="AK6" s="839"/>
      <c r="AL6" s="839"/>
      <c r="AM6" s="839"/>
      <c r="AN6" s="839"/>
      <c r="AO6" s="839"/>
      <c r="AP6" s="839"/>
      <c r="AQ6" s="839"/>
      <c r="AR6" s="840"/>
    </row>
    <row r="7" spans="1:61" ht="4.5" customHeight="1" x14ac:dyDescent="0.3">
      <c r="A7" s="113"/>
      <c r="B7" s="113"/>
      <c r="C7" s="175"/>
      <c r="D7" s="116"/>
      <c r="E7" s="113"/>
      <c r="F7" s="160"/>
      <c r="G7" s="610"/>
      <c r="H7" s="610"/>
      <c r="I7" s="610"/>
      <c r="J7" s="610"/>
      <c r="K7" s="610"/>
      <c r="L7" s="610"/>
      <c r="M7" s="610"/>
      <c r="N7" s="610"/>
      <c r="O7" s="610"/>
      <c r="P7" s="610"/>
      <c r="Q7" s="610"/>
      <c r="R7" s="610"/>
      <c r="S7" s="610"/>
      <c r="T7" s="610"/>
      <c r="U7" s="610"/>
      <c r="V7" s="610"/>
      <c r="W7" s="610"/>
      <c r="X7" s="610"/>
      <c r="Y7" s="610"/>
      <c r="Z7" s="610"/>
      <c r="AA7" s="610"/>
      <c r="AB7" s="611"/>
      <c r="AC7" s="610"/>
      <c r="AD7" s="610"/>
      <c r="AE7" s="610"/>
      <c r="AF7" s="170"/>
      <c r="AG7" s="760"/>
      <c r="AH7" s="760"/>
      <c r="AI7" s="760"/>
      <c r="AJ7" s="612"/>
      <c r="AK7" s="612"/>
      <c r="AL7" s="612"/>
      <c r="AM7" s="612"/>
      <c r="AN7" s="612"/>
      <c r="AO7" s="612"/>
      <c r="AP7" s="612"/>
      <c r="AQ7" s="612"/>
      <c r="AR7" s="612"/>
    </row>
    <row r="8" spans="1:61" x14ac:dyDescent="0.3">
      <c r="A8" s="113"/>
      <c r="B8" s="113"/>
      <c r="C8" s="173" t="s">
        <v>561</v>
      </c>
      <c r="D8" s="116"/>
      <c r="E8" s="113"/>
      <c r="F8" s="160"/>
      <c r="G8" s="841" t="str">
        <f>IF(calculations!B3=3,START!G15,"")</f>
        <v/>
      </c>
      <c r="H8" s="842"/>
      <c r="I8" s="842"/>
      <c r="J8" s="842"/>
      <c r="K8" s="842"/>
      <c r="L8" s="842"/>
      <c r="M8" s="842"/>
      <c r="N8" s="842"/>
      <c r="O8" s="842"/>
      <c r="P8" s="842"/>
      <c r="Q8" s="842"/>
      <c r="R8" s="842"/>
      <c r="S8" s="842"/>
      <c r="T8" s="842"/>
      <c r="U8" s="842"/>
      <c r="V8" s="842"/>
      <c r="W8" s="842"/>
      <c r="X8" s="842"/>
      <c r="Y8" s="842"/>
      <c r="Z8" s="842"/>
      <c r="AA8" s="842"/>
      <c r="AB8" s="842"/>
      <c r="AC8" s="842"/>
      <c r="AD8" s="842"/>
      <c r="AE8" s="843"/>
      <c r="AF8" s="171"/>
      <c r="AG8" s="760" t="str">
        <f>IF(calculations!B3=3,START!AG17,"TITLE")</f>
        <v>TITLE</v>
      </c>
      <c r="AH8" s="760"/>
      <c r="AI8" s="760"/>
      <c r="AJ8" s="838" t="str">
        <f>IF(calculations!B3=3,START!AJ17,"")</f>
        <v/>
      </c>
      <c r="AK8" s="839"/>
      <c r="AL8" s="839"/>
      <c r="AM8" s="839"/>
      <c r="AN8" s="839"/>
      <c r="AO8" s="839"/>
      <c r="AP8" s="839"/>
      <c r="AQ8" s="839"/>
      <c r="AR8" s="840"/>
    </row>
    <row r="9" spans="1:61" ht="4.5" customHeight="1" x14ac:dyDescent="0.3">
      <c r="A9" s="113"/>
      <c r="B9" s="113"/>
      <c r="C9" s="113"/>
      <c r="D9" s="113"/>
      <c r="E9" s="113"/>
      <c r="F9" s="160"/>
      <c r="G9" s="845"/>
      <c r="H9" s="845"/>
      <c r="I9" s="845"/>
      <c r="J9" s="845"/>
      <c r="K9" s="845"/>
      <c r="L9" s="845"/>
      <c r="M9" s="845"/>
      <c r="N9" s="845"/>
      <c r="O9" s="845"/>
      <c r="P9" s="845"/>
      <c r="Q9" s="845"/>
      <c r="R9" s="845"/>
      <c r="S9" s="845"/>
      <c r="T9" s="845"/>
      <c r="U9" s="845"/>
      <c r="V9" s="845"/>
      <c r="W9" s="845"/>
      <c r="X9" s="845"/>
      <c r="Y9" s="845"/>
      <c r="Z9" s="845"/>
      <c r="AA9" s="845"/>
      <c r="AB9" s="845"/>
      <c r="AC9" s="845"/>
      <c r="AD9" s="845"/>
      <c r="AE9" s="845"/>
      <c r="AF9" s="171"/>
      <c r="AG9" s="171"/>
      <c r="AH9" s="171"/>
      <c r="AI9" s="171"/>
      <c r="AJ9" s="846"/>
      <c r="AK9" s="846"/>
      <c r="AL9" s="846"/>
      <c r="AM9" s="846"/>
      <c r="AN9" s="846"/>
      <c r="AO9" s="846"/>
      <c r="AP9" s="846"/>
      <c r="AQ9" s="846"/>
      <c r="AR9" s="846"/>
    </row>
    <row r="10" spans="1:61" x14ac:dyDescent="0.3">
      <c r="A10" s="113"/>
      <c r="B10" s="113"/>
      <c r="C10" s="173" t="s">
        <v>562</v>
      </c>
      <c r="D10" s="116"/>
      <c r="E10" s="113"/>
      <c r="F10" s="160"/>
      <c r="G10" s="841" t="str">
        <f>IF(calculations!B3=3,START!G17,"")</f>
        <v/>
      </c>
      <c r="H10" s="842"/>
      <c r="I10" s="842"/>
      <c r="J10" s="842"/>
      <c r="K10" s="842"/>
      <c r="L10" s="842"/>
      <c r="M10" s="842"/>
      <c r="N10" s="842"/>
      <c r="O10" s="842"/>
      <c r="P10" s="842"/>
      <c r="Q10" s="842"/>
      <c r="R10" s="842"/>
      <c r="S10" s="842"/>
      <c r="T10" s="842"/>
      <c r="U10" s="842"/>
      <c r="V10" s="842"/>
      <c r="W10" s="843"/>
      <c r="X10" s="174" t="s">
        <v>257</v>
      </c>
      <c r="Y10" s="613"/>
      <c r="Z10" s="841" t="str">
        <f>IF(calculations!B3=3,START!Z17,"")</f>
        <v/>
      </c>
      <c r="AA10" s="842"/>
      <c r="AB10" s="842"/>
      <c r="AC10" s="842"/>
      <c r="AD10" s="842"/>
      <c r="AE10" s="843"/>
      <c r="AF10" s="171"/>
      <c r="AG10" s="760" t="s">
        <v>929</v>
      </c>
      <c r="AH10" s="760"/>
      <c r="AI10" s="760"/>
      <c r="AJ10" s="838"/>
      <c r="AK10" s="839"/>
      <c r="AL10" s="839"/>
      <c r="AM10" s="839"/>
      <c r="AN10" s="839"/>
      <c r="AO10" s="839"/>
      <c r="AP10" s="839"/>
      <c r="AQ10" s="839"/>
      <c r="AR10" s="840"/>
    </row>
    <row r="11" spans="1:61" ht="4.5" customHeight="1" x14ac:dyDescent="0.3">
      <c r="A11" s="113"/>
      <c r="B11" s="113"/>
      <c r="C11" s="113"/>
      <c r="D11" s="113"/>
      <c r="E11" s="113"/>
      <c r="F11" s="160"/>
      <c r="G11" s="847"/>
      <c r="H11" s="847"/>
      <c r="I11" s="847"/>
      <c r="J11" s="847"/>
      <c r="K11" s="848"/>
      <c r="L11" s="848"/>
      <c r="M11" s="848"/>
      <c r="N11" s="848"/>
      <c r="O11" s="848"/>
      <c r="P11" s="848"/>
      <c r="Q11" s="848"/>
      <c r="R11" s="848"/>
      <c r="S11" s="848"/>
      <c r="T11" s="848"/>
      <c r="U11" s="848"/>
      <c r="V11" s="848"/>
      <c r="W11" s="848"/>
      <c r="X11" s="848"/>
      <c r="Y11" s="848"/>
      <c r="Z11" s="848"/>
      <c r="AA11" s="848"/>
      <c r="AB11" s="848"/>
      <c r="AC11" s="848"/>
      <c r="AD11" s="848"/>
      <c r="AE11" s="848"/>
      <c r="AF11" s="170"/>
      <c r="AG11" s="170"/>
      <c r="AH11" s="170"/>
      <c r="AI11" s="170"/>
      <c r="AJ11" s="846"/>
      <c r="AK11" s="846"/>
      <c r="AL11" s="846"/>
      <c r="AM11" s="846"/>
      <c r="AN11" s="846"/>
      <c r="AO11" s="846"/>
      <c r="AP11" s="846"/>
      <c r="AQ11" s="846"/>
      <c r="AR11" s="846"/>
    </row>
    <row r="12" spans="1:61" x14ac:dyDescent="0.3">
      <c r="A12" s="113"/>
      <c r="B12" s="113"/>
      <c r="C12" s="173" t="s">
        <v>258</v>
      </c>
      <c r="D12" s="113"/>
      <c r="E12" s="113"/>
      <c r="F12" s="160"/>
      <c r="G12" s="849" t="str">
        <f>START!G19</f>
        <v/>
      </c>
      <c r="H12" s="850"/>
      <c r="I12" s="850"/>
      <c r="J12" s="851"/>
      <c r="K12" s="171"/>
      <c r="L12" s="173" t="s">
        <v>563</v>
      </c>
      <c r="M12" s="170"/>
      <c r="N12" s="170"/>
      <c r="O12" s="838">
        <f>START!O19</f>
        <v>0</v>
      </c>
      <c r="P12" s="839"/>
      <c r="Q12" s="839"/>
      <c r="R12" s="839"/>
      <c r="S12" s="839"/>
      <c r="T12" s="839"/>
      <c r="U12" s="839"/>
      <c r="V12" s="839"/>
      <c r="W12" s="839"/>
      <c r="X12" s="839"/>
      <c r="Y12" s="839"/>
      <c r="Z12" s="839"/>
      <c r="AA12" s="839"/>
      <c r="AB12" s="839"/>
      <c r="AC12" s="839"/>
      <c r="AD12" s="839"/>
      <c r="AE12" s="840"/>
      <c r="AF12" s="171"/>
      <c r="AG12" s="760" t="s">
        <v>928</v>
      </c>
      <c r="AH12" s="760"/>
      <c r="AI12" s="760"/>
      <c r="AJ12" s="838"/>
      <c r="AK12" s="839"/>
      <c r="AL12" s="839"/>
      <c r="AM12" s="839"/>
      <c r="AN12" s="839"/>
      <c r="AO12" s="839"/>
      <c r="AP12" s="839"/>
      <c r="AQ12" s="839"/>
      <c r="AR12" s="840"/>
    </row>
    <row r="13" spans="1:61" x14ac:dyDescent="0.3">
      <c r="BI13" s="180"/>
    </row>
    <row r="14" spans="1:61" x14ac:dyDescent="0.3">
      <c r="A14" s="110"/>
      <c r="B14" s="281"/>
      <c r="C14" s="659" t="s">
        <v>1376</v>
      </c>
      <c r="D14" s="660"/>
      <c r="E14" s="660"/>
      <c r="F14" s="660"/>
      <c r="G14" s="660"/>
      <c r="H14" s="660"/>
      <c r="I14" s="660"/>
      <c r="J14" s="661"/>
      <c r="K14" s="283"/>
      <c r="L14" s="659" t="s">
        <v>927</v>
      </c>
      <c r="M14" s="660"/>
      <c r="N14" s="660"/>
      <c r="O14" s="660"/>
      <c r="P14" s="660"/>
      <c r="Q14" s="660"/>
      <c r="R14" s="660"/>
      <c r="S14" s="660"/>
      <c r="T14" s="660"/>
      <c r="U14" s="660"/>
      <c r="V14" s="661"/>
      <c r="W14" s="282"/>
      <c r="X14" s="659" t="s">
        <v>1446</v>
      </c>
      <c r="Y14" s="660"/>
      <c r="Z14" s="660"/>
      <c r="AA14" s="660"/>
      <c r="AB14" s="660"/>
      <c r="AC14" s="660"/>
      <c r="AD14" s="660"/>
      <c r="AE14" s="660"/>
      <c r="AF14" s="660"/>
      <c r="AG14" s="660"/>
      <c r="AH14" s="660"/>
      <c r="AI14" s="660"/>
      <c r="AJ14" s="661"/>
      <c r="AK14" s="282"/>
      <c r="AL14" s="659" t="s">
        <v>1375</v>
      </c>
      <c r="AM14" s="660"/>
      <c r="AN14" s="660"/>
      <c r="AO14" s="660"/>
      <c r="AP14" s="660"/>
      <c r="AQ14" s="660"/>
      <c r="AR14" s="661"/>
      <c r="AZ14" s="144"/>
      <c r="BA14" s="180"/>
      <c r="BB14" s="180"/>
      <c r="BC14" s="180"/>
      <c r="BD14" s="180"/>
      <c r="BE14" s="180"/>
    </row>
    <row r="15" spans="1:61" ht="4.5" customHeight="1" x14ac:dyDescent="0.3">
      <c r="A15" s="110"/>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row>
    <row r="16" spans="1:61" x14ac:dyDescent="0.3">
      <c r="A16" s="110"/>
      <c r="B16" s="283"/>
      <c r="C16" s="824" t="s">
        <v>987</v>
      </c>
      <c r="D16" s="825"/>
      <c r="E16" s="825"/>
      <c r="F16" s="825"/>
      <c r="G16" s="825"/>
      <c r="H16" s="825"/>
      <c r="I16" s="826"/>
      <c r="J16" s="281"/>
      <c r="K16" s="824" t="str">
        <f>IF(calculations!B3=3,"GO TO ABUSE PREVENTION","")</f>
        <v/>
      </c>
      <c r="L16" s="825"/>
      <c r="M16" s="825"/>
      <c r="N16" s="825"/>
      <c r="O16" s="825"/>
      <c r="P16" s="825"/>
      <c r="Q16" s="825"/>
      <c r="R16" s="825"/>
      <c r="S16" s="825"/>
      <c r="T16" s="825"/>
      <c r="U16" s="826"/>
      <c r="V16" s="284"/>
      <c r="W16" s="824" t="str">
        <f>IF(calculations!B3=3,"GO TO TRANSPORTATION","")</f>
        <v/>
      </c>
      <c r="X16" s="825"/>
      <c r="Y16" s="825"/>
      <c r="Z16" s="825"/>
      <c r="AA16" s="825"/>
      <c r="AB16" s="825"/>
      <c r="AC16" s="825"/>
      <c r="AD16" s="825"/>
      <c r="AE16" s="825"/>
      <c r="AF16" s="826"/>
      <c r="AG16" s="282"/>
      <c r="AH16" s="824" t="str">
        <f>IF(calculations!B3=3,"GO TO COLLABORATIONS","")</f>
        <v/>
      </c>
      <c r="AI16" s="825"/>
      <c r="AJ16" s="825"/>
      <c r="AK16" s="825"/>
      <c r="AL16" s="825"/>
      <c r="AM16" s="825"/>
      <c r="AN16" s="825"/>
      <c r="AO16" s="825"/>
      <c r="AP16" s="825"/>
      <c r="AQ16" s="825"/>
      <c r="AR16" s="826"/>
      <c r="AS16" s="179"/>
    </row>
    <row r="17" spans="1:44" ht="4.5" customHeight="1" x14ac:dyDescent="0.3">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row>
    <row r="18" spans="1:44" ht="25.3" x14ac:dyDescent="0.3">
      <c r="A18" s="844" t="s">
        <v>9158</v>
      </c>
      <c r="B18" s="844"/>
      <c r="C18" s="844"/>
      <c r="D18" s="844"/>
      <c r="E18" s="844"/>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row>
    <row r="19" spans="1:44" ht="4.5" customHeight="1" x14ac:dyDescent="0.3">
      <c r="A19" s="586"/>
      <c r="B19" s="110"/>
      <c r="C19" s="110"/>
      <c r="D19" s="110"/>
      <c r="E19" s="110"/>
      <c r="F19" s="110"/>
      <c r="G19" s="110"/>
      <c r="H19" s="110"/>
      <c r="I19" s="110"/>
      <c r="J19" s="110"/>
      <c r="K19" s="110"/>
      <c r="L19" s="110"/>
      <c r="M19" s="110"/>
      <c r="N19" s="110"/>
      <c r="O19" s="110"/>
      <c r="P19" s="110"/>
      <c r="Q19" s="110"/>
      <c r="R19" s="110"/>
      <c r="S19" s="110"/>
      <c r="T19" s="110"/>
      <c r="U19" s="110"/>
      <c r="V19" s="172"/>
      <c r="W19" s="172"/>
      <c r="X19" s="172"/>
      <c r="Y19" s="172"/>
      <c r="Z19" s="172"/>
      <c r="AA19" s="172"/>
      <c r="AB19" s="172"/>
      <c r="AC19" s="172"/>
      <c r="AD19" s="172"/>
      <c r="AE19" s="172"/>
      <c r="AF19" s="172"/>
      <c r="AG19" s="172"/>
      <c r="AH19" s="172"/>
      <c r="AI19" s="172"/>
      <c r="AJ19" s="110"/>
      <c r="AK19" s="110"/>
      <c r="AL19" s="110"/>
      <c r="AM19" s="110"/>
      <c r="AN19" s="110"/>
      <c r="AO19" s="110"/>
      <c r="AP19" s="110"/>
      <c r="AQ19" s="110"/>
      <c r="AR19" s="110"/>
    </row>
    <row r="20" spans="1:44" ht="66" customHeight="1" x14ac:dyDescent="0.3">
      <c r="A20" s="110"/>
      <c r="B20" s="110"/>
      <c r="C20" s="823" t="str">
        <f>IF(calculations!B5=1,forms!A262,forms!A261)</f>
        <v>This self evaluation is provided to give you an idea of how TRG evaluates the risk management of your association regarding resident camps and dedicated day camp facilities. We do not consider a level met until all criteria are met, but do recognize that most of the time real life does not fit neatly into predefined boxes. We like to know, for example, that though only Gold is fully achieved (and thus marked), that all of Diamond is also done and that only one portion of Platinum prevents a higher score.</v>
      </c>
      <c r="D20" s="823"/>
      <c r="E20" s="823"/>
      <c r="F20" s="823"/>
      <c r="G20" s="823"/>
      <c r="H20" s="823"/>
      <c r="I20" s="823"/>
      <c r="J20" s="823"/>
      <c r="K20" s="823"/>
      <c r="L20" s="823"/>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c r="AN20" s="823"/>
      <c r="AO20" s="823"/>
      <c r="AP20" s="823"/>
      <c r="AQ20" s="823"/>
      <c r="AR20" s="823"/>
    </row>
    <row r="21" spans="1:44" ht="4.5" customHeight="1" x14ac:dyDescent="0.3">
      <c r="A21" s="110"/>
      <c r="B21" s="110"/>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row>
    <row r="22" spans="1:44" ht="39.75" customHeight="1" x14ac:dyDescent="0.3">
      <c r="A22" s="113"/>
      <c r="B22" s="113"/>
      <c r="C22" s="823" t="str">
        <f>forms!A265</f>
        <v>If a Yellow or Red Flag is the highest level achieved or if a specific necessary behavior is not indicated, then a suggested remedy will be provided - it will include all of the criteria needed to achieve Gold Medal (or meet the specific behavioral need), so it may be more inclusive than necessary.</v>
      </c>
      <c r="D22" s="823"/>
      <c r="E22" s="823"/>
      <c r="F22" s="823"/>
      <c r="G22" s="823"/>
      <c r="H22" s="823"/>
      <c r="I22" s="823"/>
      <c r="J22" s="823"/>
      <c r="K22" s="823"/>
      <c r="L22" s="823"/>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c r="AN22" s="823"/>
      <c r="AO22" s="823"/>
      <c r="AP22" s="823"/>
      <c r="AQ22" s="823"/>
      <c r="AR22" s="823"/>
    </row>
    <row r="23" spans="1:44" ht="4.5" customHeight="1" x14ac:dyDescent="0.3">
      <c r="A23" s="113"/>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row>
    <row r="24" spans="1:44" ht="52.5" customHeight="1" x14ac:dyDescent="0.3">
      <c r="A24" s="167"/>
      <c r="B24" s="166"/>
      <c r="C24" s="823" t="str">
        <f>forms!A266</f>
        <v>The document is designed for computer entry - many of the questions appear only as needed, in response to a previous answer. If there are response boxes with no questions it means that your responses did not generate further questions and you do not need to be concerned about those spaces. Empty boxes are sized large enough for the entire suggested correction to appear. If you wish to clear blank space after you have completed the form you can shrink rows as desired.</v>
      </c>
      <c r="D24" s="823"/>
      <c r="E24" s="823"/>
      <c r="F24" s="823"/>
      <c r="G24" s="823"/>
      <c r="H24" s="823"/>
      <c r="I24" s="823"/>
      <c r="J24" s="823"/>
      <c r="K24" s="823"/>
      <c r="L24" s="823"/>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c r="AN24" s="823"/>
      <c r="AO24" s="823"/>
      <c r="AP24" s="823"/>
      <c r="AQ24" s="823"/>
      <c r="AR24" s="823"/>
    </row>
    <row r="25" spans="1:44" ht="4.5" customHeight="1" x14ac:dyDescent="0.3">
      <c r="A25" s="167"/>
      <c r="B25" s="166"/>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row>
    <row r="26" spans="1:44" ht="90.75" customHeight="1" x14ac:dyDescent="0.3">
      <c r="A26" s="110"/>
      <c r="B26" s="110"/>
      <c r="C26" s="837" t="str">
        <f>forms!A267</f>
        <v xml:space="preserve">© The Redwoods Group, 2009 - Risk Management services are provided by The Redwoods Group to assist insureds in fulfilling their responsibilities for the control of potential loss-producing situations involving their YMCA operations. The information contained is not intended as legal advice; it simply represents trends in the YMCA industry, related industries, and/or law. Laws and suggested standards are under constant review by courts, states, and trade groups. They can be vastly different in each jurisdiction. YMCAs are advised to seek the services of a local personal attorney for legal advice relating to any subject addressed. The information is provided "AS IS" without warranty of any kind and The Redwoods Group expressly disclaims all warranties and conditions with regard to any information contained, including all implied warranties of merchantability and fitness for a particular purpose. The Redwoods Group assumes no liability of any kind for information and data contained or for any course of action you may take in reliance thereon.  </v>
      </c>
      <c r="D26" s="837"/>
      <c r="E26" s="837"/>
      <c r="F26" s="837"/>
      <c r="G26" s="837"/>
      <c r="H26" s="837"/>
      <c r="I26" s="837"/>
      <c r="J26" s="837"/>
      <c r="K26" s="837"/>
      <c r="L26" s="837"/>
      <c r="M26" s="837"/>
      <c r="N26" s="837"/>
      <c r="O26" s="837"/>
      <c r="P26" s="837"/>
      <c r="Q26" s="837"/>
      <c r="R26" s="837"/>
      <c r="S26" s="837"/>
      <c r="T26" s="837"/>
      <c r="U26" s="837"/>
      <c r="V26" s="837"/>
      <c r="W26" s="837"/>
      <c r="X26" s="837"/>
      <c r="Y26" s="837"/>
      <c r="Z26" s="837"/>
      <c r="AA26" s="837"/>
      <c r="AB26" s="837"/>
      <c r="AC26" s="837"/>
      <c r="AD26" s="837"/>
      <c r="AE26" s="837"/>
      <c r="AF26" s="837"/>
      <c r="AG26" s="837"/>
      <c r="AH26" s="837"/>
      <c r="AI26" s="837"/>
      <c r="AJ26" s="837"/>
      <c r="AK26" s="837"/>
      <c r="AL26" s="837"/>
      <c r="AM26" s="837"/>
      <c r="AN26" s="837"/>
      <c r="AO26" s="837"/>
      <c r="AP26" s="837"/>
      <c r="AQ26" s="837"/>
      <c r="AR26" s="837"/>
    </row>
    <row r="27" spans="1:44" x14ac:dyDescent="0.3">
      <c r="A27" s="111"/>
      <c r="B27" s="586"/>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row>
    <row r="28" spans="1:44" ht="25.3" x14ac:dyDescent="0.3">
      <c r="A28" s="817" t="s">
        <v>1918</v>
      </c>
      <c r="B28" s="817"/>
      <c r="C28" s="817"/>
      <c r="D28" s="817"/>
      <c r="E28" s="817"/>
      <c r="F28" s="817"/>
      <c r="G28" s="817"/>
      <c r="H28" s="817"/>
      <c r="I28" s="817"/>
      <c r="J28" s="817"/>
      <c r="K28" s="817"/>
      <c r="L28" s="817"/>
      <c r="M28" s="817"/>
      <c r="N28" s="817"/>
      <c r="O28" s="817"/>
      <c r="P28" s="817"/>
      <c r="Q28" s="817"/>
      <c r="R28" s="817"/>
      <c r="S28" s="817"/>
      <c r="T28" s="817"/>
      <c r="U28" s="817"/>
      <c r="V28" s="817"/>
      <c r="W28" s="817"/>
      <c r="X28" s="817"/>
      <c r="Y28" s="817"/>
      <c r="Z28" s="817"/>
      <c r="AA28" s="817"/>
      <c r="AB28" s="817"/>
      <c r="AC28" s="817"/>
      <c r="AD28" s="817"/>
      <c r="AE28" s="817"/>
      <c r="AF28" s="817"/>
      <c r="AG28" s="817"/>
      <c r="AH28" s="817"/>
      <c r="AI28" s="817"/>
      <c r="AJ28" s="817"/>
      <c r="AK28" s="817"/>
      <c r="AL28" s="817"/>
      <c r="AM28" s="817"/>
      <c r="AN28" s="817"/>
      <c r="AO28" s="817"/>
      <c r="AP28" s="817"/>
      <c r="AQ28" s="817"/>
      <c r="AR28" s="817"/>
    </row>
    <row r="29" spans="1:44" ht="12.75" customHeight="1" x14ac:dyDescent="0.3">
      <c r="A29" s="58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11"/>
      <c r="AC29" s="691" t="s">
        <v>693</v>
      </c>
      <c r="AD29" s="692"/>
      <c r="AE29" s="692"/>
      <c r="AF29" s="692"/>
      <c r="AG29" s="692"/>
      <c r="AH29" s="693"/>
      <c r="AI29" s="46"/>
      <c r="AJ29" s="691" t="s">
        <v>695</v>
      </c>
      <c r="AK29" s="692"/>
      <c r="AL29" s="692"/>
      <c r="AM29" s="692"/>
      <c r="AN29" s="692"/>
      <c r="AO29" s="692"/>
      <c r="AP29" s="692"/>
      <c r="AQ29" s="692"/>
      <c r="AR29" s="693"/>
    </row>
    <row r="30" spans="1:44" ht="4.5" customHeight="1" x14ac:dyDescent="0.3"/>
    <row r="31" spans="1:44" ht="14.15" x14ac:dyDescent="0.3">
      <c r="A31" s="182" t="s">
        <v>854</v>
      </c>
      <c r="B31" s="110"/>
      <c r="C31" s="110"/>
      <c r="D31" s="161" t="s">
        <v>926</v>
      </c>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row>
    <row r="32" spans="1:44" ht="4.5" customHeight="1" x14ac:dyDescent="0.3">
      <c r="A32" s="182"/>
      <c r="B32" s="110"/>
      <c r="C32" s="110"/>
      <c r="D32" s="110"/>
      <c r="E32" s="110"/>
      <c r="F32" s="110"/>
      <c r="G32" s="110"/>
      <c r="H32" s="110"/>
      <c r="I32" s="110"/>
      <c r="J32" s="110"/>
      <c r="K32" s="110"/>
      <c r="L32" s="110"/>
      <c r="M32" s="110"/>
      <c r="N32" s="836"/>
      <c r="O32" s="836"/>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row>
    <row r="33" spans="1:46" ht="14.15" x14ac:dyDescent="0.3">
      <c r="A33" s="182" t="s">
        <v>855</v>
      </c>
      <c r="B33" s="110"/>
      <c r="C33" s="110"/>
      <c r="D33" s="161" t="s">
        <v>925</v>
      </c>
      <c r="E33" s="110"/>
      <c r="F33" s="110"/>
      <c r="G33" s="110"/>
      <c r="H33" s="110"/>
      <c r="I33" s="241"/>
      <c r="J33" s="241"/>
      <c r="K33" s="241"/>
      <c r="L33" s="241"/>
      <c r="M33" s="272" t="s">
        <v>924</v>
      </c>
      <c r="N33" s="832"/>
      <c r="O33" s="833"/>
      <c r="P33" s="241"/>
      <c r="Q33" s="241" t="s">
        <v>923</v>
      </c>
      <c r="R33" s="241"/>
      <c r="S33" s="245"/>
      <c r="T33" s="241"/>
      <c r="U33" s="241"/>
      <c r="V33" s="241"/>
      <c r="W33" s="241"/>
      <c r="X33" s="241"/>
      <c r="Y33" s="246" t="s">
        <v>922</v>
      </c>
      <c r="Z33" s="834"/>
      <c r="AA33" s="835"/>
      <c r="AB33" s="241"/>
      <c r="AC33" s="241"/>
      <c r="AD33" s="241"/>
      <c r="AE33" s="246" t="s">
        <v>921</v>
      </c>
      <c r="AF33" s="834"/>
      <c r="AG33" s="835"/>
      <c r="AH33" s="241"/>
      <c r="AI33" s="245"/>
      <c r="AJ33" s="246" t="s">
        <v>920</v>
      </c>
      <c r="AK33" s="834"/>
      <c r="AL33" s="835"/>
      <c r="AM33" s="245"/>
      <c r="AN33" s="245"/>
      <c r="AO33" s="245"/>
      <c r="AP33" s="246" t="s">
        <v>919</v>
      </c>
      <c r="AQ33" s="834"/>
      <c r="AR33" s="835"/>
    </row>
    <row r="34" spans="1:46" ht="4.5" customHeight="1" x14ac:dyDescent="0.3">
      <c r="A34" s="182"/>
      <c r="B34" s="110"/>
      <c r="C34" s="110"/>
      <c r="D34" s="161"/>
      <c r="E34" s="110"/>
      <c r="F34" s="110"/>
      <c r="G34" s="110"/>
      <c r="H34" s="110"/>
      <c r="I34" s="110"/>
      <c r="J34" s="110"/>
      <c r="K34" s="110"/>
      <c r="L34" s="110"/>
      <c r="M34" s="163"/>
      <c r="N34" s="194"/>
      <c r="O34" s="194"/>
      <c r="P34" s="110"/>
      <c r="Q34" s="129"/>
      <c r="R34" s="110"/>
      <c r="S34" s="149"/>
      <c r="T34" s="129"/>
      <c r="U34" s="129"/>
      <c r="V34" s="129"/>
      <c r="W34" s="129"/>
      <c r="X34" s="129"/>
      <c r="Y34" s="164"/>
      <c r="Z34" s="195"/>
      <c r="AA34" s="195"/>
      <c r="AB34" s="129"/>
      <c r="AC34" s="129"/>
      <c r="AD34" s="129"/>
      <c r="AE34" s="164"/>
      <c r="AF34" s="195"/>
      <c r="AG34" s="195"/>
      <c r="AH34" s="129"/>
      <c r="AI34" s="149"/>
      <c r="AJ34" s="164"/>
      <c r="AK34" s="195"/>
      <c r="AL34" s="195"/>
      <c r="AM34" s="149"/>
      <c r="AN34" s="149"/>
      <c r="AO34" s="149"/>
      <c r="AP34" s="164"/>
      <c r="AQ34" s="196"/>
      <c r="AR34" s="196"/>
      <c r="AS34" s="110"/>
      <c r="AT34" s="110"/>
    </row>
    <row r="35" spans="1:46" ht="27" customHeight="1" x14ac:dyDescent="0.3">
      <c r="A35" s="182" t="s">
        <v>631</v>
      </c>
      <c r="B35" s="110"/>
      <c r="C35" s="110"/>
      <c r="D35" s="161"/>
      <c r="E35" s="243" t="s">
        <v>918</v>
      </c>
      <c r="F35" s="110"/>
      <c r="G35" s="110"/>
      <c r="H35" s="110"/>
      <c r="I35" s="110"/>
      <c r="J35" s="110"/>
      <c r="K35" s="110"/>
      <c r="L35" s="110"/>
      <c r="M35" s="163"/>
      <c r="N35" s="194"/>
      <c r="O35" s="165"/>
      <c r="P35" s="146" t="s">
        <v>578</v>
      </c>
      <c r="R35" s="755" t="str">
        <f>IF(O35&gt;0,"Provide brief details of hiring - interviewing, if an outside agency is not used, screening, and vetting;  if an outside agency is used, please identify.","Enter approximate percentage in box at left.")</f>
        <v>Enter approximate percentage in box at left.</v>
      </c>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7"/>
    </row>
    <row r="36" spans="1:46" ht="4.5" customHeight="1" x14ac:dyDescent="0.3">
      <c r="A36" s="182"/>
      <c r="B36" s="110"/>
      <c r="C36" s="110"/>
      <c r="D36" s="161"/>
      <c r="E36" s="243"/>
      <c r="F36" s="110"/>
      <c r="G36" s="110"/>
      <c r="H36" s="110"/>
      <c r="I36" s="110"/>
      <c r="J36" s="110"/>
      <c r="K36" s="110"/>
      <c r="L36" s="110"/>
      <c r="M36" s="163"/>
      <c r="N36" s="194"/>
      <c r="O36" s="194"/>
      <c r="P36" s="110"/>
      <c r="Q36" s="129"/>
      <c r="R36" s="241"/>
      <c r="S36" s="245"/>
      <c r="T36" s="241"/>
      <c r="U36" s="241"/>
      <c r="V36" s="241"/>
      <c r="W36" s="241"/>
      <c r="X36" s="241"/>
      <c r="Y36" s="246"/>
      <c r="Z36" s="247"/>
      <c r="AA36" s="247"/>
      <c r="AB36" s="241"/>
      <c r="AC36" s="241"/>
      <c r="AD36" s="241"/>
      <c r="AE36" s="246"/>
      <c r="AF36" s="247"/>
      <c r="AG36" s="247"/>
      <c r="AH36" s="241"/>
      <c r="AI36" s="245"/>
      <c r="AJ36" s="246"/>
      <c r="AK36" s="247"/>
      <c r="AL36" s="247"/>
      <c r="AM36" s="245"/>
      <c r="AN36" s="245"/>
      <c r="AO36" s="245"/>
      <c r="AP36" s="246"/>
      <c r="AQ36" s="247"/>
      <c r="AR36" s="247"/>
    </row>
    <row r="37" spans="1:46" ht="14.25" customHeight="1" x14ac:dyDescent="0.3">
      <c r="A37" s="182" t="s">
        <v>632</v>
      </c>
      <c r="B37" s="110"/>
      <c r="C37" s="110"/>
      <c r="D37" s="161"/>
      <c r="E37" s="243" t="s">
        <v>917</v>
      </c>
      <c r="F37" s="110"/>
      <c r="G37" s="110"/>
      <c r="H37" s="110"/>
      <c r="I37" s="110"/>
      <c r="J37" s="110"/>
      <c r="K37" s="110"/>
      <c r="L37" s="110"/>
      <c r="M37" s="163"/>
      <c r="N37" s="194"/>
      <c r="O37" s="827" t="s">
        <v>678</v>
      </c>
      <c r="P37" s="828"/>
      <c r="R37" s="829" t="str">
        <f>IF(O37="YES","Provide details - number, type, controls, etc.","")</f>
        <v/>
      </c>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1"/>
    </row>
    <row r="38" spans="1:46" ht="4.5" customHeight="1" x14ac:dyDescent="0.3">
      <c r="A38" s="182"/>
      <c r="B38" s="110"/>
      <c r="C38" s="110"/>
      <c r="D38" s="161"/>
      <c r="E38" s="243"/>
      <c r="F38" s="110"/>
      <c r="G38" s="110"/>
      <c r="H38" s="110"/>
      <c r="I38" s="110"/>
      <c r="J38" s="110"/>
      <c r="K38" s="110"/>
      <c r="L38" s="110"/>
      <c r="M38" s="163"/>
      <c r="N38" s="194"/>
      <c r="O38" s="194"/>
      <c r="P38" s="110"/>
      <c r="Q38" s="129"/>
      <c r="R38" s="241"/>
      <c r="S38" s="245"/>
      <c r="T38" s="241"/>
      <c r="U38" s="241"/>
      <c r="V38" s="241"/>
      <c r="W38" s="241"/>
      <c r="X38" s="241"/>
      <c r="Y38" s="246"/>
      <c r="Z38" s="247"/>
      <c r="AA38" s="247"/>
      <c r="AB38" s="241"/>
      <c r="AC38" s="241"/>
      <c r="AD38" s="241"/>
      <c r="AE38" s="246"/>
      <c r="AF38" s="247"/>
      <c r="AG38" s="247"/>
      <c r="AH38" s="241"/>
      <c r="AI38" s="245"/>
      <c r="AJ38" s="246"/>
      <c r="AK38" s="247"/>
      <c r="AL38" s="247"/>
      <c r="AM38" s="245"/>
      <c r="AN38" s="245"/>
      <c r="AO38" s="245"/>
      <c r="AP38" s="246"/>
      <c r="AQ38" s="247"/>
      <c r="AR38" s="247"/>
    </row>
    <row r="39" spans="1:46" ht="14.15" x14ac:dyDescent="0.3">
      <c r="A39" s="182" t="s">
        <v>633</v>
      </c>
      <c r="B39" s="110"/>
      <c r="C39" s="110"/>
      <c r="D39" s="161"/>
      <c r="E39" s="243" t="s">
        <v>916</v>
      </c>
      <c r="F39" s="110"/>
      <c r="G39" s="110"/>
      <c r="H39" s="110"/>
      <c r="I39" s="110"/>
      <c r="J39" s="110"/>
      <c r="K39" s="110"/>
      <c r="L39" s="110"/>
      <c r="M39" s="163"/>
      <c r="N39" s="194"/>
      <c r="O39" s="827" t="s">
        <v>678</v>
      </c>
      <c r="P39" s="828"/>
      <c r="R39" s="829" t="str">
        <f>IF(O39="YES","Provide details - number, type, controls, etc.","")</f>
        <v/>
      </c>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1"/>
    </row>
    <row r="40" spans="1:46" ht="4.5" customHeight="1" x14ac:dyDescent="0.3">
      <c r="A40" s="182"/>
      <c r="B40" s="110"/>
      <c r="C40" s="110"/>
      <c r="D40" s="161"/>
      <c r="E40" s="243"/>
      <c r="F40" s="110"/>
      <c r="G40" s="110"/>
      <c r="H40" s="110"/>
      <c r="I40" s="110"/>
      <c r="J40" s="110"/>
      <c r="K40" s="110"/>
      <c r="L40" s="110"/>
      <c r="M40" s="163"/>
      <c r="N40" s="194"/>
      <c r="O40" s="194"/>
      <c r="P40" s="110"/>
      <c r="Q40" s="129"/>
      <c r="R40" s="241"/>
      <c r="S40" s="245"/>
      <c r="T40" s="241"/>
      <c r="U40" s="241"/>
      <c r="V40" s="241"/>
      <c r="W40" s="241"/>
      <c r="X40" s="241"/>
      <c r="Y40" s="246"/>
      <c r="Z40" s="247"/>
      <c r="AA40" s="247"/>
      <c r="AB40" s="241"/>
      <c r="AC40" s="241"/>
      <c r="AD40" s="241"/>
      <c r="AE40" s="246"/>
      <c r="AF40" s="247"/>
      <c r="AG40" s="247"/>
      <c r="AH40" s="241"/>
      <c r="AI40" s="245"/>
      <c r="AJ40" s="246"/>
      <c r="AK40" s="247"/>
      <c r="AL40" s="247"/>
      <c r="AM40" s="245"/>
      <c r="AN40" s="245"/>
      <c r="AO40" s="245"/>
      <c r="AP40" s="246"/>
      <c r="AQ40" s="247"/>
      <c r="AR40" s="247"/>
    </row>
    <row r="41" spans="1:46" ht="49.5" customHeight="1" x14ac:dyDescent="0.3">
      <c r="A41" s="182" t="s">
        <v>634</v>
      </c>
      <c r="B41" s="110"/>
      <c r="C41" s="110"/>
      <c r="D41" s="161"/>
      <c r="E41" s="243" t="s">
        <v>915</v>
      </c>
      <c r="F41" s="110"/>
      <c r="G41" s="110"/>
      <c r="H41" s="110"/>
      <c r="I41" s="110"/>
      <c r="J41" s="110"/>
      <c r="K41" s="110"/>
      <c r="L41" s="110"/>
      <c r="M41" s="163"/>
      <c r="N41" s="194"/>
      <c r="O41" s="827" t="s">
        <v>678</v>
      </c>
      <c r="P41" s="828"/>
      <c r="R41" s="755" t="str">
        <f>IF(O41="YES",forms!A216,"")</f>
        <v/>
      </c>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7"/>
    </row>
    <row r="42" spans="1:46" ht="4.5" customHeight="1" x14ac:dyDescent="0.3">
      <c r="A42" s="113"/>
      <c r="B42" s="110"/>
      <c r="C42" s="110"/>
      <c r="D42" s="110"/>
      <c r="E42" s="110"/>
      <c r="F42" s="110"/>
      <c r="G42" s="110"/>
      <c r="H42" s="110"/>
      <c r="I42" s="110"/>
      <c r="J42" s="110"/>
      <c r="K42" s="110"/>
      <c r="L42" s="110"/>
      <c r="M42" s="163"/>
      <c r="N42" s="194"/>
      <c r="O42" s="194"/>
      <c r="P42" s="110"/>
      <c r="Q42" s="129"/>
      <c r="R42" s="241"/>
      <c r="S42" s="245"/>
      <c r="T42" s="241"/>
      <c r="U42" s="241"/>
      <c r="V42" s="241"/>
      <c r="W42" s="241"/>
      <c r="X42" s="241"/>
      <c r="Y42" s="246"/>
      <c r="Z42" s="247"/>
      <c r="AA42" s="247"/>
      <c r="AB42" s="241"/>
      <c r="AC42" s="241"/>
      <c r="AD42" s="241"/>
      <c r="AE42" s="246"/>
      <c r="AF42" s="247"/>
      <c r="AG42" s="247"/>
      <c r="AH42" s="241"/>
      <c r="AI42" s="245"/>
      <c r="AJ42" s="246"/>
      <c r="AK42" s="247"/>
      <c r="AL42" s="247"/>
      <c r="AM42" s="245"/>
      <c r="AN42" s="245"/>
      <c r="AO42" s="245"/>
      <c r="AP42" s="246"/>
      <c r="AQ42" s="247"/>
      <c r="AR42" s="247"/>
    </row>
    <row r="43" spans="1:46" ht="14.15" x14ac:dyDescent="0.3">
      <c r="A43" s="182" t="s">
        <v>856</v>
      </c>
      <c r="B43" s="110"/>
      <c r="C43" s="110"/>
      <c r="D43" s="161" t="s">
        <v>914</v>
      </c>
      <c r="E43" s="110"/>
      <c r="F43" s="110"/>
      <c r="G43" s="110"/>
      <c r="H43" s="110"/>
      <c r="I43" s="110"/>
      <c r="J43" s="110"/>
      <c r="K43" s="110"/>
      <c r="L43" s="110"/>
      <c r="M43" s="110"/>
      <c r="N43" s="110"/>
      <c r="O43" s="110"/>
      <c r="P43" s="110"/>
      <c r="Q43" s="110"/>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row>
    <row r="44" spans="1:46" ht="4.5" customHeight="1" x14ac:dyDescent="0.3">
      <c r="A44" s="113"/>
      <c r="B44" s="110"/>
      <c r="C44" s="110"/>
      <c r="D44" s="161"/>
      <c r="E44" s="110"/>
      <c r="F44" s="110"/>
      <c r="G44" s="110"/>
      <c r="H44" s="110"/>
      <c r="I44" s="110"/>
      <c r="J44" s="110"/>
      <c r="K44" s="110"/>
      <c r="L44" s="110"/>
      <c r="M44" s="110"/>
      <c r="N44" s="110"/>
      <c r="O44" s="197"/>
      <c r="P44" s="197"/>
      <c r="Q44" s="110"/>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row>
    <row r="45" spans="1:46" ht="26.25" customHeight="1" x14ac:dyDescent="0.35">
      <c r="A45" s="116" t="s">
        <v>639</v>
      </c>
      <c r="B45" s="110"/>
      <c r="C45" s="110"/>
      <c r="D45" s="110"/>
      <c r="E45" s="243" t="s">
        <v>913</v>
      </c>
      <c r="F45" s="110"/>
      <c r="G45" s="110"/>
      <c r="H45" s="110"/>
      <c r="I45" s="110"/>
      <c r="J45" s="110"/>
      <c r="K45" s="139"/>
      <c r="L45" s="110"/>
      <c r="M45" s="111"/>
      <c r="N45" s="111"/>
      <c r="O45" s="827" t="s">
        <v>678</v>
      </c>
      <c r="P45" s="828"/>
      <c r="Q45" s="149"/>
      <c r="R45" s="755" t="str">
        <f>IF(O45="yes","Provide approximate number per week, number of weeks; briefly describe unusual programming; note overnight trips.","")</f>
        <v/>
      </c>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7"/>
    </row>
    <row r="46" spans="1:46" ht="4.5" customHeight="1" x14ac:dyDescent="0.3">
      <c r="A46" s="116"/>
      <c r="B46" s="110"/>
      <c r="C46" s="110"/>
      <c r="D46" s="110"/>
      <c r="E46" s="243"/>
      <c r="F46" s="110"/>
      <c r="G46" s="110"/>
      <c r="H46" s="110"/>
      <c r="I46" s="110"/>
      <c r="J46" s="110"/>
      <c r="K46" s="110"/>
      <c r="L46" s="110"/>
      <c r="M46" s="110"/>
      <c r="N46" s="110"/>
      <c r="O46" s="197"/>
      <c r="P46" s="197"/>
      <c r="Q46" s="110"/>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row>
    <row r="47" spans="1:46" ht="39.75" customHeight="1" x14ac:dyDescent="0.35">
      <c r="A47" s="116" t="s">
        <v>640</v>
      </c>
      <c r="B47" s="110"/>
      <c r="C47" s="110"/>
      <c r="D47" s="110"/>
      <c r="E47" s="243" t="s">
        <v>912</v>
      </c>
      <c r="F47" s="110"/>
      <c r="G47" s="110"/>
      <c r="H47" s="110"/>
      <c r="I47" s="110"/>
      <c r="J47" s="110"/>
      <c r="K47" s="139"/>
      <c r="L47" s="110"/>
      <c r="M47" s="111"/>
      <c r="N47" s="111"/>
      <c r="O47" s="827" t="s">
        <v>678</v>
      </c>
      <c r="P47" s="828"/>
      <c r="Q47" s="149"/>
      <c r="R47" s="755" t="str">
        <f>IF(O47="yes","Provide approximate number per week, number of weeks; staff-to-bunk ratio; briefly describe unusual programming; note overnight trips of two days or less and other off-site activities.","")</f>
        <v/>
      </c>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7"/>
    </row>
    <row r="48" spans="1:46" ht="4.5" customHeight="1" x14ac:dyDescent="0.3">
      <c r="A48" s="113"/>
      <c r="B48" s="110"/>
      <c r="C48" s="110"/>
      <c r="D48" s="161"/>
      <c r="E48" s="243"/>
      <c r="F48" s="110"/>
      <c r="G48" s="110"/>
      <c r="H48" s="110"/>
      <c r="I48" s="110"/>
      <c r="J48" s="110"/>
      <c r="K48" s="110"/>
      <c r="L48" s="110"/>
      <c r="M48" s="110"/>
      <c r="N48" s="110"/>
      <c r="O48" s="197"/>
      <c r="P48" s="197"/>
      <c r="Q48" s="110"/>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row>
    <row r="49" spans="1:49" ht="12.9" x14ac:dyDescent="0.35">
      <c r="A49" s="116" t="s">
        <v>641</v>
      </c>
      <c r="B49" s="110"/>
      <c r="C49" s="110"/>
      <c r="D49" s="110"/>
      <c r="E49" s="243" t="s">
        <v>911</v>
      </c>
      <c r="F49" s="110"/>
      <c r="G49" s="110"/>
      <c r="H49" s="110"/>
      <c r="I49" s="110"/>
      <c r="J49" s="110"/>
      <c r="K49" s="139"/>
      <c r="L49" s="110"/>
      <c r="M49" s="111"/>
      <c r="N49" s="111"/>
      <c r="O49" s="827" t="s">
        <v>678</v>
      </c>
      <c r="P49" s="828"/>
      <c r="Q49" s="149"/>
      <c r="R49" s="876" t="s">
        <v>910</v>
      </c>
      <c r="S49" s="877"/>
      <c r="T49" s="877"/>
      <c r="U49" s="877"/>
      <c r="V49" s="877"/>
      <c r="W49" s="877"/>
      <c r="X49" s="877"/>
      <c r="Y49" s="877"/>
      <c r="Z49" s="877"/>
      <c r="AA49" s="877"/>
      <c r="AB49" s="877"/>
      <c r="AC49" s="877"/>
      <c r="AD49" s="877"/>
      <c r="AE49" s="877"/>
      <c r="AF49" s="877"/>
      <c r="AG49" s="877"/>
      <c r="AH49" s="877"/>
      <c r="AI49" s="877"/>
      <c r="AJ49" s="877"/>
      <c r="AK49" s="877"/>
      <c r="AL49" s="877"/>
      <c r="AM49" s="877"/>
      <c r="AN49" s="877"/>
      <c r="AO49" s="877"/>
      <c r="AP49" s="877"/>
      <c r="AQ49" s="877"/>
      <c r="AR49" s="878"/>
    </row>
    <row r="50" spans="1:49" ht="15" customHeight="1" x14ac:dyDescent="0.35">
      <c r="A50" s="116"/>
      <c r="B50" s="110"/>
      <c r="C50" s="110"/>
      <c r="D50" s="161"/>
      <c r="E50" s="241"/>
      <c r="F50" s="110"/>
      <c r="G50" s="110"/>
      <c r="H50" s="110"/>
      <c r="I50" s="110"/>
      <c r="J50" s="110"/>
      <c r="K50" s="139"/>
      <c r="L50" s="110"/>
      <c r="M50" s="111"/>
      <c r="N50" s="111"/>
      <c r="O50" s="154"/>
      <c r="P50" s="198"/>
      <c r="Q50" s="149"/>
      <c r="R50" s="811" t="str">
        <f>IF(O49="yes","Briefly describe number per week, staff ratios, destinations, etc.","")</f>
        <v/>
      </c>
      <c r="S50" s="812"/>
      <c r="T50" s="812"/>
      <c r="U50" s="812"/>
      <c r="V50" s="812"/>
      <c r="W50" s="812"/>
      <c r="X50" s="812"/>
      <c r="Y50" s="812"/>
      <c r="Z50" s="812"/>
      <c r="AA50" s="812"/>
      <c r="AB50" s="812"/>
      <c r="AC50" s="812"/>
      <c r="AD50" s="812"/>
      <c r="AE50" s="812"/>
      <c r="AF50" s="812"/>
      <c r="AG50" s="812"/>
      <c r="AH50" s="812"/>
      <c r="AI50" s="812"/>
      <c r="AJ50" s="812"/>
      <c r="AK50" s="812"/>
      <c r="AL50" s="812"/>
      <c r="AM50" s="812"/>
      <c r="AN50" s="812"/>
      <c r="AO50" s="812"/>
      <c r="AP50" s="812"/>
      <c r="AQ50" s="812"/>
      <c r="AR50" s="813"/>
    </row>
    <row r="51" spans="1:49" ht="4.5" customHeight="1" x14ac:dyDescent="0.3">
      <c r="A51" s="116"/>
      <c r="B51" s="110"/>
      <c r="C51" s="110"/>
      <c r="D51" s="161"/>
      <c r="E51" s="241"/>
      <c r="F51" s="110"/>
      <c r="G51" s="110"/>
      <c r="H51" s="110"/>
      <c r="L51" s="110"/>
      <c r="M51" s="110"/>
      <c r="N51" s="110"/>
      <c r="O51" s="197"/>
      <c r="P51" s="197"/>
      <c r="Q51" s="110"/>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row>
    <row r="52" spans="1:49" ht="25.5" customHeight="1" x14ac:dyDescent="0.3">
      <c r="A52" s="116" t="s">
        <v>642</v>
      </c>
      <c r="B52" s="110"/>
      <c r="C52" s="110"/>
      <c r="D52" s="161"/>
      <c r="E52" s="243" t="s">
        <v>909</v>
      </c>
      <c r="F52" s="110"/>
      <c r="G52" s="110"/>
      <c r="H52" s="110"/>
      <c r="L52" s="110"/>
      <c r="M52" s="111"/>
      <c r="N52" s="111"/>
      <c r="O52" s="827" t="s">
        <v>678</v>
      </c>
      <c r="P52" s="828"/>
      <c r="Q52" s="307"/>
      <c r="R52" s="755" t="str">
        <f>IF(O52="yes","List seasons, type (e.g., outdoor education, conference groups, family groups, parent-child programming, etc.), number of staff, and programming provided.","")</f>
        <v/>
      </c>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7"/>
    </row>
    <row r="53" spans="1:49" ht="3.75" customHeight="1" x14ac:dyDescent="0.3">
      <c r="A53" s="116"/>
      <c r="B53" s="110"/>
      <c r="C53" s="110"/>
      <c r="D53" s="161"/>
      <c r="E53" s="243"/>
      <c r="F53" s="110"/>
      <c r="G53" s="110"/>
      <c r="H53" s="110"/>
      <c r="L53" s="110"/>
      <c r="M53" s="110"/>
      <c r="N53" s="110"/>
      <c r="O53" s="197"/>
      <c r="P53" s="197"/>
      <c r="Q53" s="308"/>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row>
    <row r="54" spans="1:49" ht="27" customHeight="1" x14ac:dyDescent="0.3">
      <c r="A54" s="116" t="s">
        <v>643</v>
      </c>
      <c r="B54" s="110"/>
      <c r="C54" s="110"/>
      <c r="D54" s="161"/>
      <c r="E54" s="243" t="s">
        <v>1751</v>
      </c>
      <c r="F54" s="110"/>
      <c r="G54" s="110"/>
      <c r="H54" s="110"/>
      <c r="L54" s="110"/>
      <c r="M54" s="111"/>
      <c r="N54" s="111"/>
      <c r="O54" s="827" t="s">
        <v>678</v>
      </c>
      <c r="P54" s="828"/>
      <c r="Q54" s="307"/>
      <c r="R54" s="755" t="str">
        <f>IF(O54="yes","Specify type (e.g., diabetes, blind, etc.), number of staff, programming provided; identify outside personnel (e.g., non-staff medical, personal attendants, etc.).","")</f>
        <v/>
      </c>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7"/>
    </row>
    <row r="55" spans="1:49" ht="4.5" customHeight="1" x14ac:dyDescent="0.3">
      <c r="A55" s="116"/>
      <c r="B55" s="110"/>
      <c r="C55" s="110"/>
      <c r="D55" s="161"/>
      <c r="E55" s="110"/>
      <c r="F55" s="110"/>
      <c r="G55" s="110"/>
      <c r="H55" s="110"/>
      <c r="L55" s="110"/>
      <c r="M55" s="111"/>
      <c r="N55" s="110"/>
      <c r="O55" s="197"/>
      <c r="P55" s="197"/>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row>
    <row r="56" spans="1:49" ht="14.15" x14ac:dyDescent="0.3">
      <c r="A56" s="182" t="s">
        <v>857</v>
      </c>
      <c r="B56" s="110"/>
      <c r="C56" s="110"/>
      <c r="D56" s="161" t="s">
        <v>908</v>
      </c>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row>
    <row r="57" spans="1:49" ht="4.5" customHeight="1" x14ac:dyDescent="0.3">
      <c r="A57" s="116"/>
      <c r="B57" s="110"/>
      <c r="C57" s="110"/>
      <c r="D57" s="161"/>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row>
    <row r="58" spans="1:49" ht="14.15" x14ac:dyDescent="0.3">
      <c r="A58" s="116" t="s">
        <v>647</v>
      </c>
      <c r="B58" s="110"/>
      <c r="C58" s="110"/>
      <c r="D58" s="161"/>
      <c r="E58" s="277" t="s">
        <v>1083</v>
      </c>
      <c r="F58" s="110"/>
      <c r="G58" s="110"/>
      <c r="H58" s="110"/>
      <c r="I58" s="110"/>
      <c r="J58" s="110"/>
      <c r="K58" s="110"/>
      <c r="L58" s="771" t="s">
        <v>678</v>
      </c>
      <c r="M58" s="772"/>
      <c r="P58" s="110"/>
      <c r="U58" s="278" t="str">
        <f>IF(L58="yes","year last accredited ","")</f>
        <v/>
      </c>
      <c r="V58" s="769"/>
      <c r="W58" s="770"/>
      <c r="Y58" s="337"/>
      <c r="Z58" s="337"/>
      <c r="AA58" s="337"/>
      <c r="AB58" s="337"/>
      <c r="AD58" s="110"/>
      <c r="AE58" s="110"/>
      <c r="AF58" s="110"/>
      <c r="AG58" s="110"/>
      <c r="AH58" s="110"/>
      <c r="AI58" s="110"/>
      <c r="AJ58" s="110"/>
      <c r="AK58" s="110"/>
      <c r="AL58" s="110"/>
      <c r="AM58" s="110"/>
      <c r="AN58" s="110"/>
      <c r="AO58" s="110"/>
      <c r="AP58" s="592" t="str">
        <f>IF(L58="yes","current statement of compliance signed ","")</f>
        <v/>
      </c>
      <c r="AQ58" s="771" t="s">
        <v>678</v>
      </c>
      <c r="AR58" s="772"/>
    </row>
    <row r="59" spans="1:49" ht="4.5" customHeight="1" x14ac:dyDescent="0.3">
      <c r="A59" s="116"/>
      <c r="B59" s="110"/>
      <c r="C59" s="110"/>
      <c r="D59" s="161"/>
      <c r="E59" s="129"/>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row>
    <row r="60" spans="1:49" ht="14.15" x14ac:dyDescent="0.3">
      <c r="A60" s="116" t="s">
        <v>648</v>
      </c>
      <c r="B60" s="110"/>
      <c r="C60" s="110"/>
      <c r="D60" s="161"/>
      <c r="E60" s="277" t="s">
        <v>1082</v>
      </c>
      <c r="F60" s="110"/>
      <c r="G60" s="110"/>
      <c r="H60" s="110"/>
      <c r="I60" s="110"/>
      <c r="J60" s="110"/>
      <c r="K60" s="110"/>
      <c r="L60" s="110"/>
      <c r="M60" s="110"/>
      <c r="P60" s="110"/>
      <c r="Q60" s="110"/>
      <c r="R60" s="110"/>
      <c r="S60" s="241"/>
      <c r="T60" s="110"/>
      <c r="U60" s="110"/>
      <c r="V60" s="110"/>
      <c r="W60" s="110"/>
      <c r="X60" s="110"/>
      <c r="AA60" s="771" t="s">
        <v>678</v>
      </c>
      <c r="AB60" s="772"/>
      <c r="AC60" s="318"/>
      <c r="AD60" s="110"/>
      <c r="AG60" s="110"/>
      <c r="AH60" s="110"/>
      <c r="AI60" s="110"/>
      <c r="AJ60" s="110"/>
      <c r="AK60" s="241"/>
      <c r="AL60" s="110"/>
      <c r="AM60" s="110"/>
      <c r="AN60" s="110"/>
      <c r="AO60" s="110"/>
      <c r="AP60" s="207" t="str">
        <f>IF(AA60="yes","year accredited ","")</f>
        <v/>
      </c>
      <c r="AQ60" s="773"/>
      <c r="AR60" s="774"/>
    </row>
    <row r="61" spans="1:49" ht="4.5" customHeight="1" x14ac:dyDescent="0.3">
      <c r="A61" s="116"/>
      <c r="B61" s="110"/>
      <c r="C61" s="110"/>
      <c r="D61" s="161"/>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row>
    <row r="62" spans="1:49" x14ac:dyDescent="0.3">
      <c r="A62" s="116"/>
      <c r="B62" s="110"/>
      <c r="C62" s="110"/>
      <c r="D62" s="110"/>
      <c r="E62" s="110"/>
      <c r="F62" s="145" t="str">
        <f>IF(AA60="yes","COMMENTS","")</f>
        <v/>
      </c>
      <c r="G62" s="110"/>
      <c r="H62" s="110"/>
      <c r="I62" s="110"/>
      <c r="J62" s="110"/>
      <c r="K62" s="879"/>
      <c r="L62" s="880"/>
      <c r="M62" s="880"/>
      <c r="N62" s="880"/>
      <c r="O62" s="880"/>
      <c r="P62" s="880"/>
      <c r="Q62" s="880"/>
      <c r="R62" s="880"/>
      <c r="S62" s="880"/>
      <c r="T62" s="880"/>
      <c r="U62" s="880"/>
      <c r="V62" s="880"/>
      <c r="W62" s="880"/>
      <c r="X62" s="880"/>
      <c r="Y62" s="880"/>
      <c r="Z62" s="880"/>
      <c r="AA62" s="880"/>
      <c r="AB62" s="880"/>
      <c r="AC62" s="880"/>
      <c r="AD62" s="880"/>
      <c r="AE62" s="880"/>
      <c r="AF62" s="880"/>
      <c r="AG62" s="880"/>
      <c r="AH62" s="880"/>
      <c r="AI62" s="880"/>
      <c r="AJ62" s="880"/>
      <c r="AK62" s="880"/>
      <c r="AL62" s="880"/>
      <c r="AM62" s="880"/>
      <c r="AN62" s="880"/>
      <c r="AO62" s="880"/>
      <c r="AP62" s="880"/>
      <c r="AQ62" s="880"/>
      <c r="AR62" s="881"/>
    </row>
    <row r="63" spans="1:49" ht="4.5" customHeight="1" x14ac:dyDescent="0.3">
      <c r="A63" s="116"/>
      <c r="B63" s="110"/>
      <c r="C63" s="110"/>
      <c r="D63" s="161"/>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row>
    <row r="64" spans="1:49" ht="15" customHeight="1" x14ac:dyDescent="0.3">
      <c r="A64" s="116" t="s">
        <v>649</v>
      </c>
      <c r="B64" s="110"/>
      <c r="C64" s="110"/>
      <c r="D64" s="161"/>
      <c r="E64" s="243" t="s">
        <v>1081</v>
      </c>
      <c r="F64" s="110"/>
      <c r="G64" s="113"/>
      <c r="H64" s="113"/>
      <c r="I64" s="113"/>
      <c r="J64" s="113"/>
      <c r="K64" s="113"/>
      <c r="L64" s="113"/>
      <c r="M64" s="113"/>
      <c r="P64" s="113"/>
      <c r="Q64" s="827" t="s">
        <v>678</v>
      </c>
      <c r="R64" s="828"/>
      <c r="T64" s="276"/>
      <c r="V64" s="181" t="str">
        <f>IF(Q64="YES","DETAILS ","")</f>
        <v/>
      </c>
      <c r="W64" s="755" t="str">
        <f>IF(Q64="YES","programs, frequency/seasons of use","")</f>
        <v/>
      </c>
      <c r="X64" s="756"/>
      <c r="Y64" s="756"/>
      <c r="Z64" s="756"/>
      <c r="AA64" s="756"/>
      <c r="AB64" s="756"/>
      <c r="AC64" s="756"/>
      <c r="AD64" s="756"/>
      <c r="AE64" s="756"/>
      <c r="AF64" s="756"/>
      <c r="AG64" s="756"/>
      <c r="AH64" s="756"/>
      <c r="AI64" s="756"/>
      <c r="AJ64" s="756"/>
      <c r="AK64" s="756"/>
      <c r="AL64" s="756"/>
      <c r="AM64" s="756"/>
      <c r="AN64" s="756"/>
      <c r="AO64" s="756"/>
      <c r="AP64" s="756"/>
      <c r="AQ64" s="756"/>
      <c r="AR64" s="757"/>
      <c r="AS64" s="319"/>
      <c r="AT64" s="168"/>
      <c r="AU64" s="168"/>
      <c r="AV64" s="168"/>
      <c r="AW64" s="110"/>
    </row>
    <row r="65" spans="1:64" ht="4.5" customHeight="1" x14ac:dyDescent="0.3">
      <c r="A65" s="116"/>
      <c r="B65" s="110"/>
      <c r="C65" s="110"/>
      <c r="D65" s="161"/>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row>
    <row r="66" spans="1:64" ht="14.15" x14ac:dyDescent="0.3">
      <c r="A66" s="182" t="s">
        <v>858</v>
      </c>
      <c r="B66" s="110"/>
      <c r="C66" s="110"/>
      <c r="D66" s="161" t="s">
        <v>907</v>
      </c>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row>
    <row r="67" spans="1:64" x14ac:dyDescent="0.3">
      <c r="A67" s="116" t="s">
        <v>651</v>
      </c>
      <c r="B67" s="110"/>
      <c r="C67" s="146"/>
      <c r="D67" s="146"/>
      <c r="E67" s="274" t="s">
        <v>906</v>
      </c>
      <c r="F67" s="129"/>
      <c r="G67" s="129"/>
      <c r="H67" s="129"/>
      <c r="I67" s="129"/>
      <c r="J67" s="129"/>
      <c r="K67" s="129"/>
      <c r="L67" s="110"/>
      <c r="M67" s="110"/>
      <c r="N67" s="827" t="s">
        <v>678</v>
      </c>
      <c r="O67" s="828"/>
      <c r="P67" s="113"/>
      <c r="Q67" s="755" t="str">
        <f>IF(N67="yes","Provide details - licensed, ages served, average attendance, staff, meals?","")</f>
        <v/>
      </c>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7"/>
    </row>
    <row r="68" spans="1:64" ht="4.5" customHeight="1" x14ac:dyDescent="0.3">
      <c r="A68" s="116"/>
      <c r="B68" s="110"/>
      <c r="C68" s="146"/>
      <c r="D68" s="146"/>
      <c r="E68" s="275"/>
      <c r="F68" s="129"/>
      <c r="G68" s="129"/>
      <c r="H68" s="129"/>
      <c r="I68" s="129"/>
      <c r="J68" s="129"/>
      <c r="K68" s="129"/>
      <c r="L68" s="110"/>
      <c r="M68" s="110"/>
      <c r="N68" s="129"/>
      <c r="O68" s="129"/>
      <c r="P68" s="113"/>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row>
    <row r="69" spans="1:64" x14ac:dyDescent="0.3">
      <c r="A69" s="116" t="s">
        <v>652</v>
      </c>
      <c r="B69" s="110"/>
      <c r="C69" s="146"/>
      <c r="D69" s="146"/>
      <c r="E69" s="274" t="s">
        <v>1998</v>
      </c>
      <c r="F69" s="129"/>
      <c r="G69" s="129"/>
      <c r="H69" s="129"/>
      <c r="I69" s="129"/>
      <c r="J69" s="129"/>
      <c r="K69" s="129"/>
      <c r="L69" s="110"/>
      <c r="M69" s="110"/>
      <c r="N69" s="827" t="s">
        <v>678</v>
      </c>
      <c r="O69" s="828"/>
      <c r="P69" s="113"/>
      <c r="Q69" s="755" t="str">
        <f>IF(N69="yes","Provide details - licensed, grades served, average attendance, staff, transportation?","")</f>
        <v/>
      </c>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7"/>
    </row>
    <row r="70" spans="1:64" ht="4.5" customHeight="1" x14ac:dyDescent="0.3">
      <c r="A70" s="116"/>
      <c r="B70" s="110"/>
      <c r="C70" s="146"/>
      <c r="D70" s="146"/>
      <c r="E70" s="275"/>
      <c r="F70" s="129"/>
      <c r="G70" s="129"/>
      <c r="H70" s="129"/>
      <c r="I70" s="129"/>
      <c r="J70" s="129"/>
      <c r="K70" s="129"/>
      <c r="L70" s="110"/>
      <c r="M70" s="110"/>
      <c r="N70" s="129"/>
      <c r="O70" s="129"/>
      <c r="P70" s="113"/>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row>
    <row r="71" spans="1:64" x14ac:dyDescent="0.3">
      <c r="A71" s="116" t="s">
        <v>653</v>
      </c>
      <c r="B71" s="110"/>
      <c r="C71" s="146"/>
      <c r="D71" s="146"/>
      <c r="E71" s="274" t="s">
        <v>905</v>
      </c>
      <c r="F71" s="129"/>
      <c r="G71" s="129"/>
      <c r="H71" s="129"/>
      <c r="I71" s="129"/>
      <c r="J71" s="129"/>
      <c r="K71" s="129"/>
      <c r="L71" s="110"/>
      <c r="M71" s="110"/>
      <c r="N71" s="827" t="s">
        <v>678</v>
      </c>
      <c r="O71" s="828"/>
      <c r="P71" s="113"/>
      <c r="Q71" s="755" t="str">
        <f>IF(N71="yes","Provide details - ages served, average attendance, type of program?","")</f>
        <v/>
      </c>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7"/>
    </row>
    <row r="72" spans="1:64" ht="3.75" customHeight="1" x14ac:dyDescent="0.3">
      <c r="A72" s="116"/>
      <c r="B72" s="110"/>
      <c r="C72" s="146"/>
      <c r="D72" s="146"/>
      <c r="E72" s="162"/>
      <c r="F72" s="129"/>
      <c r="G72" s="129"/>
      <c r="H72" s="129"/>
      <c r="I72" s="129"/>
      <c r="J72" s="129"/>
      <c r="K72" s="129"/>
      <c r="L72" s="129"/>
      <c r="M72" s="129"/>
      <c r="N72" s="129"/>
      <c r="O72" s="110"/>
      <c r="P72" s="162"/>
      <c r="Q72" s="162"/>
      <c r="R72" s="162"/>
      <c r="S72" s="162"/>
      <c r="T72" s="162"/>
      <c r="U72" s="162"/>
      <c r="V72" s="274"/>
      <c r="W72" s="110"/>
      <c r="X72" s="126"/>
      <c r="Y72" s="126"/>
      <c r="Z72" s="126"/>
      <c r="AA72" s="126"/>
      <c r="AB72" s="126"/>
      <c r="AC72" s="126"/>
      <c r="AD72" s="126"/>
      <c r="AE72" s="126"/>
      <c r="AF72" s="126"/>
      <c r="AG72" s="126"/>
      <c r="AH72" s="126"/>
      <c r="AI72" s="126"/>
      <c r="AJ72" s="126"/>
      <c r="AK72" s="126"/>
      <c r="AL72" s="126"/>
      <c r="AM72" s="126"/>
      <c r="AN72" s="126"/>
      <c r="AO72" s="126"/>
      <c r="AP72" s="126"/>
      <c r="AQ72" s="126"/>
      <c r="AR72" s="126"/>
    </row>
    <row r="73" spans="1:64" s="110" customFormat="1" ht="14.15" x14ac:dyDescent="0.3">
      <c r="A73" s="182" t="s">
        <v>805</v>
      </c>
      <c r="C73" s="146"/>
      <c r="D73" s="161" t="s">
        <v>1747</v>
      </c>
      <c r="E73" s="146"/>
      <c r="F73" s="146"/>
      <c r="G73" s="146"/>
      <c r="H73" s="146"/>
      <c r="I73" s="146"/>
      <c r="J73" s="146"/>
      <c r="K73" s="146"/>
      <c r="L73" s="146"/>
      <c r="M73" s="146"/>
      <c r="N73" s="146"/>
      <c r="O73" s="146"/>
      <c r="P73" s="146"/>
      <c r="Q73" s="146"/>
      <c r="R73" s="146"/>
      <c r="S73" s="146"/>
      <c r="V73" s="882" t="s">
        <v>678</v>
      </c>
      <c r="W73" s="883"/>
      <c r="X73" s="884"/>
      <c r="Y73" s="146"/>
      <c r="Z73" s="146"/>
      <c r="AA73" s="146"/>
      <c r="AB73" s="146"/>
      <c r="AE73" s="146"/>
      <c r="AF73" s="146"/>
      <c r="AG73" s="146"/>
      <c r="AH73" s="146"/>
      <c r="AI73" s="146"/>
      <c r="AJ73" s="146"/>
      <c r="AK73" s="146"/>
      <c r="AL73" s="146"/>
      <c r="AM73" s="146"/>
      <c r="AN73" s="146"/>
      <c r="AR73" s="125"/>
      <c r="AS73" s="125"/>
      <c r="AT73" s="111"/>
      <c r="AU73" s="125"/>
      <c r="AV73" s="125"/>
      <c r="AW73" s="125"/>
      <c r="AX73" s="125"/>
      <c r="AY73" s="125"/>
      <c r="AZ73" s="125"/>
      <c r="BA73" s="125"/>
      <c r="BB73" s="125"/>
      <c r="BC73" s="125"/>
      <c r="BD73" s="125"/>
      <c r="BE73" s="125"/>
      <c r="BF73" s="125"/>
      <c r="BG73" s="125"/>
      <c r="BH73" s="125"/>
    </row>
    <row r="74" spans="1:64" s="110" customFormat="1" ht="4.5" customHeight="1" x14ac:dyDescent="0.3">
      <c r="A74" s="11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T74" s="111"/>
      <c r="AV74" s="125"/>
      <c r="AW74" s="125"/>
      <c r="AX74" s="125"/>
      <c r="AY74" s="125"/>
      <c r="AZ74" s="125"/>
      <c r="BA74" s="125"/>
      <c r="BB74" s="125"/>
      <c r="BC74" s="125"/>
      <c r="BD74" s="125"/>
      <c r="BE74" s="125"/>
      <c r="BF74" s="125"/>
      <c r="BG74" s="125"/>
      <c r="BH74" s="125"/>
      <c r="BI74" s="125"/>
      <c r="BJ74" s="125"/>
      <c r="BK74" s="125"/>
      <c r="BL74" s="125"/>
    </row>
    <row r="75" spans="1:64" s="110" customFormat="1" x14ac:dyDescent="0.3">
      <c r="A75" s="116" t="s">
        <v>676</v>
      </c>
      <c r="C75" s="146"/>
      <c r="D75" s="146"/>
      <c r="E75" s="241" t="str">
        <f>IF(V73="YES","NUMBER OF CABINS","")</f>
        <v/>
      </c>
      <c r="N75" s="767"/>
      <c r="O75" s="768"/>
      <c r="T75" s="241" t="str">
        <f>IF(V73="YES","NUMBER OF OTHER GUEST–ACCOMMODATIONS BUILDINGS","")</f>
        <v/>
      </c>
      <c r="AQ75" s="767"/>
      <c r="AR75" s="768"/>
      <c r="AT75" s="111"/>
      <c r="AV75" s="125"/>
      <c r="AW75" s="125"/>
      <c r="AX75" s="125"/>
      <c r="AY75" s="125"/>
      <c r="AZ75" s="125"/>
      <c r="BA75" s="125"/>
      <c r="BB75" s="125"/>
      <c r="BC75" s="125"/>
      <c r="BD75" s="125"/>
      <c r="BE75" s="125"/>
      <c r="BF75" s="125"/>
      <c r="BG75" s="125"/>
      <c r="BH75" s="125"/>
      <c r="BI75" s="125"/>
      <c r="BJ75" s="125"/>
      <c r="BK75" s="125"/>
      <c r="BL75" s="125"/>
    </row>
    <row r="76" spans="1:64" s="110" customFormat="1" ht="4.5" customHeight="1" x14ac:dyDescent="0.3">
      <c r="A76" s="116"/>
      <c r="C76" s="146"/>
      <c r="D76" s="146"/>
      <c r="E76" s="243"/>
      <c r="F76" s="146"/>
      <c r="G76" s="146"/>
      <c r="H76" s="146"/>
      <c r="I76" s="146"/>
      <c r="J76" s="146"/>
      <c r="K76" s="146"/>
      <c r="L76" s="146"/>
      <c r="M76" s="146"/>
      <c r="N76" s="146"/>
      <c r="O76" s="146"/>
      <c r="P76" s="146"/>
      <c r="Q76" s="194"/>
      <c r="R76" s="194"/>
      <c r="S76" s="146"/>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T76" s="111"/>
      <c r="AV76" s="125"/>
      <c r="AW76" s="125"/>
      <c r="AX76" s="125"/>
      <c r="AY76" s="125"/>
      <c r="AZ76" s="125"/>
      <c r="BA76" s="125"/>
      <c r="BB76" s="125"/>
      <c r="BC76" s="125"/>
      <c r="BD76" s="125"/>
      <c r="BE76" s="125"/>
      <c r="BF76" s="125"/>
      <c r="BG76" s="125"/>
      <c r="BH76" s="125"/>
      <c r="BI76" s="125"/>
      <c r="BJ76" s="125"/>
      <c r="BK76" s="125"/>
      <c r="BL76" s="125"/>
    </row>
    <row r="77" spans="1:64" s="110" customFormat="1" ht="12.75" customHeight="1" x14ac:dyDescent="0.3">
      <c r="A77" s="116" t="s">
        <v>0</v>
      </c>
      <c r="C77" s="146"/>
      <c r="D77" s="146"/>
      <c r="E77" s="243" t="str">
        <f>IF(V73="YES","NUMBER OF CAMPER/GUEST BEDS","")</f>
        <v/>
      </c>
      <c r="F77" s="146"/>
      <c r="G77" s="146"/>
      <c r="H77" s="146"/>
      <c r="I77" s="146"/>
      <c r="J77" s="146"/>
      <c r="K77" s="146"/>
      <c r="L77" s="146"/>
      <c r="M77" s="146"/>
      <c r="N77" s="146"/>
      <c r="O77" s="146"/>
      <c r="P77" s="146"/>
      <c r="S77" s="769"/>
      <c r="T77" s="770"/>
      <c r="V77" s="755" t="str">
        <f>IF(V73="yes","Describe type, number, and sizes - e.g., dormitory, cabins, etc.","")</f>
        <v/>
      </c>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7"/>
      <c r="AS77" s="320"/>
      <c r="AT77" s="320"/>
    </row>
    <row r="78" spans="1:64" s="110" customFormat="1" ht="6" customHeight="1" x14ac:dyDescent="0.3">
      <c r="A78" s="11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T78" s="111"/>
      <c r="AX78" s="125"/>
    </row>
    <row r="79" spans="1:64" s="110" customFormat="1" ht="12.75" customHeight="1" x14ac:dyDescent="0.3">
      <c r="A79" s="116" t="s">
        <v>1</v>
      </c>
      <c r="C79" s="146"/>
      <c r="D79" s="146"/>
      <c r="F79" s="243" t="str">
        <f>IF(V73="yes","BATHROOM TYPE","")</f>
        <v/>
      </c>
      <c r="G79" s="146"/>
      <c r="H79" s="146"/>
      <c r="I79" s="146"/>
      <c r="J79" s="146"/>
      <c r="K79" s="146"/>
      <c r="L79" s="146"/>
      <c r="M79" s="146"/>
      <c r="N79" s="761" t="s">
        <v>678</v>
      </c>
      <c r="O79" s="762"/>
      <c r="P79" s="762"/>
      <c r="Q79" s="762"/>
      <c r="R79" s="763"/>
      <c r="S79" s="146"/>
      <c r="T79" s="146" t="str">
        <f>IF(S77&gt;0,"CONTROLS","")</f>
        <v/>
      </c>
      <c r="U79" s="146"/>
      <c r="V79" s="146"/>
      <c r="W79" s="146"/>
      <c r="X79" s="146"/>
      <c r="Y79" s="755" t="str">
        <f>IF(V73="yes","Explain controls, list multiple types.","")</f>
        <v/>
      </c>
      <c r="Z79" s="756"/>
      <c r="AA79" s="756"/>
      <c r="AB79" s="756"/>
      <c r="AC79" s="756"/>
      <c r="AD79" s="756"/>
      <c r="AE79" s="756"/>
      <c r="AF79" s="756"/>
      <c r="AG79" s="756"/>
      <c r="AH79" s="756"/>
      <c r="AI79" s="756"/>
      <c r="AJ79" s="756"/>
      <c r="AK79" s="756"/>
      <c r="AL79" s="756"/>
      <c r="AM79" s="756"/>
      <c r="AN79" s="756"/>
      <c r="AO79" s="756"/>
      <c r="AP79" s="756"/>
      <c r="AQ79" s="756"/>
      <c r="AR79" s="757"/>
      <c r="AT79" s="111"/>
      <c r="AX79" s="125"/>
    </row>
    <row r="80" spans="1:64" s="110" customFormat="1" ht="14.25" customHeight="1" x14ac:dyDescent="0.3">
      <c r="A80" s="113"/>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T80" s="111"/>
      <c r="AX80" s="125"/>
    </row>
    <row r="81" spans="1:45" ht="25.3" x14ac:dyDescent="0.3">
      <c r="A81" s="817" t="s">
        <v>1000</v>
      </c>
      <c r="B81" s="817"/>
      <c r="C81" s="817"/>
      <c r="D81" s="817"/>
      <c r="E81" s="817"/>
      <c r="F81" s="817"/>
      <c r="G81" s="817"/>
      <c r="H81" s="817"/>
      <c r="I81" s="817"/>
      <c r="J81" s="817"/>
      <c r="K81" s="817"/>
      <c r="L81" s="817"/>
      <c r="M81" s="817"/>
      <c r="N81" s="817"/>
      <c r="O81" s="817"/>
      <c r="P81" s="817"/>
      <c r="Q81" s="817"/>
      <c r="R81" s="817"/>
      <c r="S81" s="817"/>
      <c r="T81" s="817"/>
      <c r="U81" s="817"/>
      <c r="V81" s="817"/>
      <c r="W81" s="817"/>
      <c r="X81" s="817"/>
      <c r="Y81" s="817"/>
      <c r="Z81" s="817"/>
      <c r="AA81" s="817"/>
      <c r="AB81" s="817"/>
      <c r="AC81" s="817"/>
      <c r="AD81" s="817"/>
      <c r="AE81" s="817"/>
      <c r="AF81" s="817"/>
      <c r="AG81" s="817"/>
      <c r="AH81" s="817"/>
      <c r="AI81" s="817"/>
      <c r="AJ81" s="817"/>
      <c r="AK81" s="817"/>
      <c r="AL81" s="817"/>
      <c r="AM81" s="817"/>
      <c r="AN81" s="817"/>
      <c r="AO81" s="817"/>
      <c r="AP81" s="817"/>
      <c r="AQ81" s="817"/>
      <c r="AR81" s="817"/>
      <c r="AS81" s="131"/>
    </row>
    <row r="82" spans="1:45" x14ac:dyDescent="0.3">
      <c r="A82" s="136"/>
      <c r="B82" s="111"/>
      <c r="C82" s="111"/>
      <c r="D82" s="111"/>
      <c r="E82" s="121"/>
      <c r="F82" s="111"/>
      <c r="G82" s="111"/>
      <c r="H82" s="111"/>
      <c r="I82" s="111"/>
      <c r="J82" s="111"/>
      <c r="K82" s="111"/>
      <c r="L82" s="111"/>
      <c r="M82" s="111"/>
      <c r="N82" s="111"/>
      <c r="O82" s="111"/>
      <c r="P82" s="111"/>
      <c r="Q82" s="111"/>
      <c r="R82" s="111"/>
      <c r="S82" s="111"/>
      <c r="T82" s="111"/>
      <c r="U82" s="111"/>
      <c r="V82" s="111"/>
      <c r="W82" s="111"/>
      <c r="X82" s="111"/>
      <c r="Y82" s="153"/>
      <c r="Z82" s="153"/>
      <c r="AA82" s="153"/>
      <c r="AB82" s="111"/>
      <c r="AC82" s="691" t="s">
        <v>693</v>
      </c>
      <c r="AD82" s="692"/>
      <c r="AE82" s="692"/>
      <c r="AF82" s="692"/>
      <c r="AG82" s="692"/>
      <c r="AH82" s="693"/>
      <c r="AI82" s="46"/>
      <c r="AJ82" s="691" t="s">
        <v>694</v>
      </c>
      <c r="AK82" s="692"/>
      <c r="AL82" s="692"/>
      <c r="AM82" s="692"/>
      <c r="AN82" s="692"/>
      <c r="AO82" s="692"/>
      <c r="AP82" s="692"/>
      <c r="AQ82" s="692"/>
      <c r="AR82" s="693"/>
      <c r="AS82" s="131"/>
    </row>
    <row r="83" spans="1:45" x14ac:dyDescent="0.3">
      <c r="A83" s="136"/>
      <c r="B83" s="111"/>
      <c r="C83" s="111"/>
      <c r="O83" s="111"/>
      <c r="P83" s="111"/>
      <c r="Q83" s="111"/>
      <c r="R83" s="110"/>
      <c r="S83" s="111"/>
      <c r="T83" s="110"/>
      <c r="U83" s="159"/>
      <c r="V83" s="111"/>
      <c r="W83" s="111"/>
      <c r="X83" s="111"/>
      <c r="Y83" s="111"/>
      <c r="Z83" s="111"/>
      <c r="AA83" s="111"/>
      <c r="AB83" s="111"/>
      <c r="AC83" s="111"/>
      <c r="AD83" s="111"/>
      <c r="AE83" s="111"/>
      <c r="AF83" s="111"/>
      <c r="AG83" s="111"/>
      <c r="AH83" s="111"/>
      <c r="AI83" s="111"/>
      <c r="AJ83" s="691" t="s">
        <v>695</v>
      </c>
      <c r="AK83" s="692"/>
      <c r="AL83" s="692"/>
      <c r="AM83" s="692"/>
      <c r="AN83" s="692"/>
      <c r="AO83" s="692"/>
      <c r="AP83" s="692"/>
      <c r="AQ83" s="692"/>
      <c r="AR83" s="693"/>
      <c r="AS83" s="131"/>
    </row>
    <row r="84" spans="1:45" ht="4.5" customHeight="1" x14ac:dyDescent="0.3">
      <c r="A84" s="136"/>
      <c r="B84" s="111"/>
      <c r="C84" s="111"/>
      <c r="D84" s="111"/>
      <c r="E84" s="121"/>
      <c r="F84" s="138"/>
      <c r="G84" s="111"/>
      <c r="H84" s="111"/>
      <c r="I84" s="111"/>
      <c r="J84" s="126"/>
      <c r="K84" s="126"/>
      <c r="L84" s="126"/>
      <c r="M84" s="126"/>
      <c r="N84" s="188"/>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31"/>
    </row>
    <row r="85" spans="1:45" ht="14.15" x14ac:dyDescent="0.3">
      <c r="A85" s="182" t="s">
        <v>860</v>
      </c>
      <c r="B85" s="111"/>
      <c r="C85" s="111"/>
      <c r="D85" s="137" t="s">
        <v>903</v>
      </c>
      <c r="E85" s="121"/>
      <c r="F85" s="138"/>
      <c r="G85" s="111"/>
      <c r="H85" s="111"/>
      <c r="I85" s="111"/>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31"/>
    </row>
    <row r="86" spans="1:45" x14ac:dyDescent="0.3">
      <c r="A86" s="138" t="s">
        <v>12</v>
      </c>
      <c r="B86" s="111"/>
      <c r="C86" s="111"/>
      <c r="D86" s="111"/>
      <c r="E86" s="184" t="s">
        <v>902</v>
      </c>
      <c r="F86" s="138"/>
      <c r="G86" s="111"/>
      <c r="H86" s="111"/>
      <c r="I86" s="111"/>
      <c r="K86" s="126"/>
      <c r="L86" s="126"/>
      <c r="M86" s="126"/>
      <c r="N86" s="126"/>
      <c r="O86" s="126"/>
      <c r="P86" s="192" t="str">
        <f>IF(calculations!AC151=1,"RISK MANAGER'S SUBJECTIVE OPINION OF SWIMMING","")</f>
        <v/>
      </c>
      <c r="Q86" s="126"/>
      <c r="R86" s="126"/>
      <c r="S86" s="126"/>
      <c r="T86" s="126"/>
      <c r="U86" s="126"/>
      <c r="V86" s="126"/>
      <c r="W86" s="126"/>
      <c r="X86" s="126"/>
      <c r="Y86" s="126"/>
      <c r="Z86" s="126"/>
      <c r="AA86" s="126"/>
      <c r="AB86" s="126"/>
      <c r="AC86" s="126"/>
      <c r="AD86" s="126"/>
      <c r="AE86" s="126"/>
      <c r="AF86" s="126"/>
      <c r="AG86" s="126"/>
      <c r="AH86" s="126"/>
      <c r="AI86" s="126"/>
      <c r="AJ86" s="126"/>
      <c r="AK86" s="873" t="s">
        <v>1748</v>
      </c>
      <c r="AL86" s="874"/>
      <c r="AM86" s="874"/>
      <c r="AN86" s="874"/>
      <c r="AO86" s="874"/>
      <c r="AP86" s="874"/>
      <c r="AQ86" s="874"/>
      <c r="AR86" s="875"/>
      <c r="AS86" s="131"/>
    </row>
    <row r="87" spans="1:45" x14ac:dyDescent="0.3">
      <c r="A87" s="138" t="s">
        <v>1001</v>
      </c>
      <c r="B87" s="111"/>
      <c r="C87" s="111"/>
      <c r="D87" s="111"/>
      <c r="E87" s="121"/>
      <c r="F87" s="138"/>
      <c r="G87" s="111"/>
      <c r="H87" s="111"/>
      <c r="I87" s="111"/>
      <c r="J87" s="199" t="str">
        <f>IF(calculations!AC150=1,"please choose either NONE or one or more of the following selections","")</f>
        <v/>
      </c>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31"/>
    </row>
    <row r="88" spans="1:45" ht="3.75" customHeight="1" x14ac:dyDescent="0.3">
      <c r="A88" s="138"/>
      <c r="B88" s="111"/>
      <c r="C88" s="111"/>
      <c r="D88" s="111"/>
      <c r="E88" s="121"/>
      <c r="F88" s="138"/>
      <c r="G88" s="111"/>
      <c r="H88" s="111"/>
      <c r="I88" s="111"/>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31"/>
    </row>
    <row r="89" spans="1:45" ht="36" customHeight="1" x14ac:dyDescent="0.3">
      <c r="A89" s="138" t="s">
        <v>1002</v>
      </c>
      <c r="B89" s="111"/>
      <c r="C89" s="111"/>
      <c r="D89" s="111"/>
      <c r="E89" s="121"/>
      <c r="F89" s="138"/>
      <c r="G89" s="111"/>
      <c r="H89" s="111"/>
      <c r="I89" s="111"/>
      <c r="J89" s="126"/>
      <c r="K89" s="126"/>
      <c r="L89" s="126"/>
      <c r="M89" s="755" t="str">
        <f>IF(calculations!AA151,"Describe number and type of pools, fencing, and seasons of use; PLEASE ENTER RECOMMENDATIONS TO CORRECT ANY DEVIATIONS FROM ACCEPTED PRACTICES IN THE BOX AT LINE 2.1.1.6.","")</f>
        <v/>
      </c>
      <c r="N89" s="756"/>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7"/>
      <c r="AS89" s="131"/>
    </row>
    <row r="90" spans="1:45" ht="4.5" customHeight="1" x14ac:dyDescent="0.3">
      <c r="A90" s="138"/>
      <c r="B90" s="111"/>
      <c r="C90" s="111"/>
      <c r="D90" s="111"/>
      <c r="E90" s="121"/>
      <c r="F90" s="138"/>
      <c r="G90" s="111"/>
      <c r="H90" s="111"/>
      <c r="I90" s="111"/>
      <c r="J90" s="126"/>
      <c r="K90" s="126"/>
      <c r="L90" s="126"/>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131"/>
    </row>
    <row r="91" spans="1:45" ht="36" customHeight="1" x14ac:dyDescent="0.3">
      <c r="A91" s="138" t="s">
        <v>1003</v>
      </c>
      <c r="B91" s="111"/>
      <c r="C91" s="111"/>
      <c r="D91" s="111"/>
      <c r="E91" s="121"/>
      <c r="F91" s="138"/>
      <c r="G91" s="111"/>
      <c r="H91" s="111"/>
      <c r="I91" s="111"/>
      <c r="J91" s="126"/>
      <c r="K91" s="126"/>
      <c r="L91" s="126"/>
      <c r="M91" s="755" t="str">
        <f>IF(calculations!AA152,"Describe body of water, access security, season of use, and lifeguard credential requirements; PLEASE ENTER RECOMMENDATIONS TO CORRECT ANY DEVIATIONS FROM ACCEPTED PRACTICES IN THE BOX AT LINE 2.1.1.6.","")</f>
        <v/>
      </c>
      <c r="N91" s="756"/>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7"/>
      <c r="AS91" s="131"/>
    </row>
    <row r="92" spans="1:45" ht="4.5" customHeight="1" x14ac:dyDescent="0.3">
      <c r="A92" s="138"/>
      <c r="B92" s="111"/>
      <c r="C92" s="111"/>
      <c r="D92" s="111"/>
      <c r="E92" s="121"/>
      <c r="F92" s="138"/>
      <c r="G92" s="111"/>
      <c r="H92" s="111"/>
      <c r="I92" s="111"/>
      <c r="J92" s="126"/>
      <c r="K92" s="126"/>
      <c r="L92" s="126"/>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131"/>
    </row>
    <row r="93" spans="1:45" ht="35.25" customHeight="1" x14ac:dyDescent="0.3">
      <c r="A93" s="138" t="s">
        <v>1004</v>
      </c>
      <c r="B93" s="111"/>
      <c r="C93" s="111"/>
      <c r="D93" s="111"/>
      <c r="E93" s="121"/>
      <c r="F93" s="138"/>
      <c r="G93" s="111"/>
      <c r="H93" s="111"/>
      <c r="I93" s="111"/>
      <c r="J93" s="126"/>
      <c r="K93" s="126"/>
      <c r="L93" s="126"/>
      <c r="M93" s="755" t="str">
        <f>IF(calculations!AA153,"Describe water trampolines or inflatables, related protocols, and frequency of use; PLEASE ENTER RECOMMENDATIONS TO CORRECT ANY DEVIATIONS FROM ACCEPTED PRACTICES IN THE BOX AT LINE 2.1.1.6.","")</f>
        <v/>
      </c>
      <c r="N93" s="756"/>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7"/>
      <c r="AS93" s="131"/>
    </row>
    <row r="94" spans="1:45" ht="3.75" customHeight="1" x14ac:dyDescent="0.3">
      <c r="A94" s="138"/>
      <c r="B94" s="111"/>
      <c r="C94" s="111"/>
      <c r="D94" s="111"/>
      <c r="E94" s="121"/>
      <c r="F94" s="138"/>
      <c r="G94" s="111"/>
      <c r="H94" s="111"/>
      <c r="I94" s="111"/>
      <c r="J94" s="126"/>
      <c r="K94" s="126"/>
      <c r="L94" s="126"/>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131"/>
    </row>
    <row r="95" spans="1:45" ht="14.25" customHeight="1" x14ac:dyDescent="0.3">
      <c r="A95" s="138" t="s">
        <v>1078</v>
      </c>
      <c r="B95" s="111"/>
      <c r="C95" s="111"/>
      <c r="D95" s="111"/>
      <c r="E95" s="121"/>
      <c r="F95" s="138"/>
      <c r="G95" s="111"/>
      <c r="H95" s="111"/>
      <c r="I95" s="111"/>
      <c r="J95" s="126"/>
      <c r="K95" s="126"/>
      <c r="L95" s="126"/>
      <c r="M95" s="755" t="str">
        <f>IF(calculations!AA154,"Describe facility, frequency of use, pre-visit evaluation process, and EAPs.","")</f>
        <v/>
      </c>
      <c r="N95" s="756"/>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7"/>
      <c r="AS95" s="131"/>
    </row>
    <row r="96" spans="1:45" ht="4.5" customHeight="1" x14ac:dyDescent="0.3">
      <c r="A96" s="138"/>
      <c r="B96" s="111"/>
      <c r="C96" s="111"/>
      <c r="D96" s="111"/>
      <c r="E96" s="121"/>
      <c r="F96" s="138"/>
      <c r="G96" s="111"/>
      <c r="H96" s="111"/>
      <c r="I96" s="111"/>
      <c r="J96" s="126"/>
      <c r="K96" s="126"/>
      <c r="L96" s="126"/>
      <c r="M96" s="315"/>
      <c r="N96" s="315"/>
      <c r="O96" s="315"/>
      <c r="P96" s="315"/>
      <c r="Q96" s="315"/>
      <c r="R96" s="315"/>
      <c r="S96" s="315"/>
      <c r="T96" s="315"/>
      <c r="U96" s="315"/>
      <c r="V96" s="315"/>
      <c r="W96" s="315"/>
      <c r="X96" s="315"/>
      <c r="Y96" s="315"/>
      <c r="Z96" s="315"/>
      <c r="AA96" s="315"/>
      <c r="AB96" s="315"/>
      <c r="AC96" s="315"/>
      <c r="AD96" s="315"/>
      <c r="AE96" s="315"/>
      <c r="AF96" s="315"/>
      <c r="AG96" s="315"/>
      <c r="AH96" s="315"/>
      <c r="AI96" s="315"/>
      <c r="AJ96" s="315"/>
      <c r="AK96" s="315"/>
      <c r="AL96" s="315"/>
      <c r="AM96" s="315"/>
      <c r="AN96" s="315"/>
      <c r="AO96" s="315"/>
      <c r="AP96" s="315"/>
      <c r="AQ96" s="315"/>
      <c r="AR96" s="315"/>
      <c r="AS96" s="131"/>
    </row>
    <row r="97" spans="1:45" ht="14.25" customHeight="1" x14ac:dyDescent="0.3">
      <c r="A97" s="138" t="s">
        <v>1450</v>
      </c>
      <c r="B97" s="111"/>
      <c r="C97" s="111"/>
      <c r="D97" s="111"/>
      <c r="E97" s="121"/>
      <c r="F97" s="138"/>
      <c r="G97" s="111"/>
      <c r="H97" s="111"/>
      <c r="I97" s="292" t="str">
        <f>IF(M97&gt;"","REC","")</f>
        <v/>
      </c>
      <c r="J97" s="126"/>
      <c r="K97" s="126"/>
      <c r="L97" s="126"/>
      <c r="M97" s="866"/>
      <c r="N97" s="867"/>
      <c r="O97" s="867"/>
      <c r="P97" s="867"/>
      <c r="Q97" s="867"/>
      <c r="R97" s="867"/>
      <c r="S97" s="867"/>
      <c r="T97" s="867"/>
      <c r="U97" s="867"/>
      <c r="V97" s="867"/>
      <c r="W97" s="867"/>
      <c r="X97" s="867"/>
      <c r="Y97" s="867"/>
      <c r="Z97" s="867"/>
      <c r="AA97" s="867"/>
      <c r="AB97" s="867"/>
      <c r="AC97" s="867"/>
      <c r="AD97" s="867"/>
      <c r="AE97" s="867"/>
      <c r="AF97" s="867"/>
      <c r="AG97" s="867"/>
      <c r="AH97" s="867"/>
      <c r="AI97" s="867"/>
      <c r="AJ97" s="867"/>
      <c r="AK97" s="867"/>
      <c r="AL97" s="867"/>
      <c r="AM97" s="867"/>
      <c r="AN97" s="867"/>
      <c r="AO97" s="867"/>
      <c r="AP97" s="867"/>
      <c r="AQ97" s="867"/>
      <c r="AR97" s="868"/>
      <c r="AS97" s="131"/>
    </row>
    <row r="98" spans="1:45" x14ac:dyDescent="0.3">
      <c r="A98" s="136"/>
      <c r="B98" s="111"/>
      <c r="C98" s="111"/>
      <c r="D98" s="111"/>
      <c r="E98" s="121"/>
      <c r="F98" s="138"/>
      <c r="G98" s="111"/>
      <c r="H98" s="111"/>
      <c r="I98" s="111"/>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31"/>
    </row>
    <row r="99" spans="1:45" x14ac:dyDescent="0.3">
      <c r="A99" s="182" t="s">
        <v>13</v>
      </c>
      <c r="B99" s="111"/>
      <c r="C99" s="111"/>
      <c r="D99" s="111"/>
      <c r="E99" s="184" t="s">
        <v>901</v>
      </c>
      <c r="F99" s="138"/>
      <c r="G99" s="111"/>
      <c r="H99" s="111"/>
      <c r="I99" s="111"/>
      <c r="K99" s="126"/>
      <c r="L99" s="126"/>
      <c r="M99" s="126"/>
      <c r="N99" s="126"/>
      <c r="O99" s="192" t="str">
        <f>IF(calculations!AC160&gt;0,"RISK MANAGER'S SUBJECTIVE OPINION OF BOATINGING","")</f>
        <v/>
      </c>
      <c r="Q99" s="126"/>
      <c r="R99" s="126"/>
      <c r="S99" s="126"/>
      <c r="T99" s="126"/>
      <c r="U99" s="126"/>
      <c r="V99" s="126"/>
      <c r="W99" s="126"/>
      <c r="X99" s="126"/>
      <c r="Y99" s="126"/>
      <c r="Z99" s="126"/>
      <c r="AA99" s="126"/>
      <c r="AB99" s="126"/>
      <c r="AC99" s="126"/>
      <c r="AD99" s="126"/>
      <c r="AE99" s="126"/>
      <c r="AF99" s="126"/>
      <c r="AG99" s="126"/>
      <c r="AH99" s="126"/>
      <c r="AI99" s="126"/>
      <c r="AJ99" s="126"/>
      <c r="AK99" s="873" t="s">
        <v>1748</v>
      </c>
      <c r="AL99" s="874"/>
      <c r="AM99" s="874"/>
      <c r="AN99" s="874"/>
      <c r="AO99" s="874"/>
      <c r="AP99" s="874"/>
      <c r="AQ99" s="874"/>
      <c r="AR99" s="875"/>
      <c r="AS99" s="131"/>
    </row>
    <row r="100" spans="1:45" x14ac:dyDescent="0.3">
      <c r="A100" s="138" t="s">
        <v>1005</v>
      </c>
      <c r="B100" s="111"/>
      <c r="C100" s="111"/>
      <c r="D100" s="111"/>
      <c r="E100" s="121"/>
      <c r="F100" s="138"/>
      <c r="I100" s="111"/>
      <c r="J100" s="336" t="str">
        <f>IF(calculations!AA162,"",IF(SUM(calculations!AB156:AD156)=1,"IF NONE, ARA 0.2.11 AND BOX ADJACENT MUST AGREE",IF(SUM(calculations!AB156:AD156)&lt;4,"","PLEASE SELECT NONE (both adjacent and at ARA 0.2.11) OR ONE OR MORE OF THE FOLLOWING")))</f>
        <v/>
      </c>
      <c r="K100" s="189"/>
      <c r="AS100" s="131"/>
    </row>
    <row r="101" spans="1:45" x14ac:dyDescent="0.3">
      <c r="A101" s="138"/>
      <c r="B101" s="111"/>
      <c r="C101" s="111"/>
      <c r="D101" s="111"/>
      <c r="E101" s="121"/>
      <c r="F101" s="138"/>
      <c r="G101" s="111"/>
      <c r="H101" s="111"/>
      <c r="I101" s="111"/>
      <c r="J101" s="110"/>
      <c r="K101" s="189"/>
      <c r="M101" s="206" t="s">
        <v>999</v>
      </c>
      <c r="O101" s="126"/>
      <c r="P101" s="126"/>
      <c r="Q101" s="126"/>
      <c r="R101" s="126"/>
      <c r="S101" s="126"/>
      <c r="T101" s="126"/>
      <c r="U101" s="126"/>
      <c r="V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31"/>
    </row>
    <row r="102" spans="1:45" ht="4.5" customHeight="1" x14ac:dyDescent="0.3">
      <c r="A102" s="138"/>
      <c r="B102" s="111"/>
      <c r="C102" s="111"/>
      <c r="D102" s="111"/>
      <c r="E102" s="121"/>
      <c r="F102" s="138"/>
      <c r="G102" s="111"/>
      <c r="H102" s="111"/>
      <c r="I102" s="111"/>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31"/>
    </row>
    <row r="103" spans="1:45" x14ac:dyDescent="0.3">
      <c r="A103" s="138"/>
      <c r="B103" s="111"/>
      <c r="C103" s="111"/>
      <c r="D103" s="111"/>
      <c r="E103" s="121"/>
      <c r="F103" s="145" t="str">
        <f>IF(calculations!AC160&gt;0,"LOCATION","")</f>
        <v/>
      </c>
      <c r="G103" s="110"/>
      <c r="H103" s="110"/>
      <c r="I103" s="110"/>
      <c r="J103" s="110"/>
      <c r="K103" s="110"/>
      <c r="L103" s="110"/>
      <c r="M103" s="761" t="s">
        <v>678</v>
      </c>
      <c r="N103" s="762"/>
      <c r="O103" s="762"/>
      <c r="P103" s="762"/>
      <c r="Q103" s="762"/>
      <c r="R103" s="762"/>
      <c r="S103" s="762"/>
      <c r="T103" s="762"/>
      <c r="U103" s="762"/>
      <c r="V103" s="762"/>
      <c r="W103" s="762"/>
      <c r="X103" s="762"/>
      <c r="Y103" s="762"/>
      <c r="Z103" s="763"/>
      <c r="AA103" s="241"/>
      <c r="AB103" s="241"/>
      <c r="AC103" s="241"/>
      <c r="AD103" s="241"/>
      <c r="AE103" s="241"/>
      <c r="AF103" s="241"/>
      <c r="AG103" s="241"/>
      <c r="AH103" s="241"/>
      <c r="AI103" s="241"/>
      <c r="AJ103" s="241"/>
      <c r="AK103" s="241"/>
      <c r="AL103" s="241"/>
      <c r="AM103" s="241"/>
      <c r="AN103" s="241"/>
      <c r="AO103" s="241"/>
      <c r="AP103" s="241"/>
      <c r="AQ103" s="241"/>
      <c r="AR103" s="241"/>
      <c r="AS103" s="131"/>
    </row>
    <row r="104" spans="1:45" ht="3.75" customHeight="1" x14ac:dyDescent="0.3">
      <c r="A104" s="138"/>
      <c r="B104" s="111"/>
      <c r="C104" s="111"/>
      <c r="D104" s="111"/>
      <c r="E104" s="121"/>
      <c r="F104" s="145"/>
      <c r="G104" s="110"/>
      <c r="H104" s="110"/>
      <c r="I104" s="110"/>
      <c r="J104" s="110"/>
      <c r="K104" s="110"/>
      <c r="L104" s="110"/>
      <c r="M104" s="249"/>
      <c r="N104" s="249"/>
      <c r="O104" s="249"/>
      <c r="P104" s="249"/>
      <c r="Q104" s="249"/>
      <c r="R104" s="249"/>
      <c r="S104" s="249"/>
      <c r="T104" s="249"/>
      <c r="U104" s="249"/>
      <c r="V104" s="249"/>
      <c r="W104" s="249"/>
      <c r="X104" s="249"/>
      <c r="Y104" s="249"/>
      <c r="Z104" s="249"/>
      <c r="AA104" s="241"/>
      <c r="AB104" s="241"/>
      <c r="AC104" s="241"/>
      <c r="AD104" s="241"/>
      <c r="AE104" s="241"/>
      <c r="AF104" s="241"/>
      <c r="AG104" s="241"/>
      <c r="AH104" s="241"/>
      <c r="AI104" s="241"/>
      <c r="AJ104" s="241"/>
      <c r="AK104" s="241"/>
      <c r="AL104" s="241"/>
      <c r="AM104" s="241"/>
      <c r="AN104" s="241"/>
      <c r="AO104" s="241"/>
      <c r="AP104" s="241"/>
      <c r="AQ104" s="241"/>
      <c r="AR104" s="241"/>
      <c r="AS104" s="131"/>
    </row>
    <row r="105" spans="1:45" ht="26.25" customHeight="1" x14ac:dyDescent="0.3">
      <c r="A105" s="138" t="s">
        <v>1006</v>
      </c>
      <c r="B105" s="111"/>
      <c r="C105" s="111"/>
      <c r="D105" s="111"/>
      <c r="E105" s="121"/>
      <c r="F105" s="138" t="str">
        <f>IF(calculations!AC160&gt;0,"WATERSKIING","")</f>
        <v/>
      </c>
      <c r="G105" s="110"/>
      <c r="H105" s="110"/>
      <c r="I105" s="110"/>
      <c r="J105" s="110"/>
      <c r="K105" s="110"/>
      <c r="L105" s="110"/>
      <c r="M105" s="761" t="s">
        <v>678</v>
      </c>
      <c r="N105" s="762"/>
      <c r="O105" s="763"/>
      <c r="P105" s="249"/>
      <c r="Q105" s="755" t="str">
        <f>IF(M105="yes","Describe vessel, frequency of use, operator training and experience, staff ratio, satety protocols, etc.; note deviations from accepted practices in the box at line 2.1.2.7.","")</f>
        <v/>
      </c>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7"/>
      <c r="AS105" s="131"/>
    </row>
    <row r="106" spans="1:45" ht="4.5" customHeight="1" x14ac:dyDescent="0.3">
      <c r="A106" s="138"/>
      <c r="B106" s="111"/>
      <c r="C106" s="111"/>
      <c r="D106" s="111"/>
      <c r="E106" s="121"/>
      <c r="F106" s="138"/>
      <c r="G106" s="111"/>
      <c r="H106" s="111"/>
      <c r="I106" s="111"/>
      <c r="J106" s="126"/>
      <c r="K106" s="126"/>
      <c r="L106" s="126"/>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131"/>
    </row>
    <row r="107" spans="1:45" ht="26.25" customHeight="1" x14ac:dyDescent="0.3">
      <c r="A107" s="138" t="s">
        <v>1007</v>
      </c>
      <c r="B107" s="111"/>
      <c r="C107" s="111"/>
      <c r="D107" s="111"/>
      <c r="E107" s="121"/>
      <c r="F107" s="138" t="str">
        <f>IF(calculations!AC160&gt;0,"FLEET DETAILS","")</f>
        <v/>
      </c>
      <c r="G107" s="111"/>
      <c r="H107" s="111"/>
      <c r="I107" s="111"/>
      <c r="J107" s="126"/>
      <c r="K107" s="126"/>
      <c r="L107" s="126"/>
      <c r="M107" s="755" t="str">
        <f>IF(calculations!AC160&gt;0,"Describe fleet - number of vessels by type, power source, and length; note if staff or camper operated; briefly describe programs and seasons/frequency of use.","")</f>
        <v/>
      </c>
      <c r="N107" s="756"/>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7"/>
      <c r="AS107" s="131"/>
    </row>
    <row r="108" spans="1:45" ht="4.5" customHeight="1" x14ac:dyDescent="0.3">
      <c r="A108" s="138"/>
      <c r="B108" s="111"/>
      <c r="C108" s="111"/>
      <c r="D108" s="111"/>
      <c r="E108" s="121"/>
      <c r="F108" s="138"/>
      <c r="G108" s="111"/>
      <c r="H108" s="111"/>
      <c r="I108" s="111"/>
      <c r="J108" s="126"/>
      <c r="K108" s="126"/>
      <c r="L108" s="126"/>
      <c r="M108" s="248"/>
      <c r="N108" s="248"/>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131"/>
    </row>
    <row r="109" spans="1:45" ht="36.75" customHeight="1" x14ac:dyDescent="0.3">
      <c r="A109" s="138" t="s">
        <v>1008</v>
      </c>
      <c r="B109" s="111"/>
      <c r="C109" s="111"/>
      <c r="D109" s="111"/>
      <c r="E109" s="121"/>
      <c r="F109" s="138" t="str">
        <f>IF(calculations!AC160&gt;0,"OPERATOR TRAINING","")</f>
        <v/>
      </c>
      <c r="G109" s="111"/>
      <c r="H109" s="111"/>
      <c r="I109" s="111"/>
      <c r="J109" s="126"/>
      <c r="K109" s="126"/>
      <c r="L109" s="126"/>
      <c r="M109" s="755" t="str">
        <f>IF(calculations!AC160&gt;0,"Describe staff operator training, certification, and licensing; describe camper operator orientation required before use and protocols; PLEASE ENTER RECOMMENDATIONS TO CORRECT ANY DEVIATIONS FROM ACCEPTED PRACTICES IN THE BOX AT LINE 2.1.2.7. ","")</f>
        <v/>
      </c>
      <c r="N109" s="756"/>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7"/>
      <c r="AS109" s="131"/>
    </row>
    <row r="110" spans="1:45" ht="4.5" customHeight="1" x14ac:dyDescent="0.3">
      <c r="A110" s="138"/>
      <c r="B110" s="111"/>
      <c r="C110" s="111"/>
      <c r="D110" s="111"/>
      <c r="E110" s="121"/>
      <c r="F110" s="138"/>
      <c r="G110" s="111"/>
      <c r="H110" s="111"/>
      <c r="I110" s="111"/>
      <c r="J110" s="126"/>
      <c r="K110" s="126"/>
      <c r="L110" s="126"/>
      <c r="M110" s="248"/>
      <c r="N110" s="248"/>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131"/>
    </row>
    <row r="111" spans="1:45" ht="37.5" customHeight="1" x14ac:dyDescent="0.3">
      <c r="A111" s="138" t="s">
        <v>1009</v>
      </c>
      <c r="B111" s="111"/>
      <c r="C111" s="111"/>
      <c r="D111" s="111"/>
      <c r="E111" s="121"/>
      <c r="F111" s="138" t="str">
        <f>IF(calculations!AC160&gt;0,"FLEET MAINTENANCE","")</f>
        <v/>
      </c>
      <c r="G111" s="111"/>
      <c r="H111" s="111"/>
      <c r="I111" s="111"/>
      <c r="J111" s="126"/>
      <c r="K111" s="126"/>
      <c r="L111" s="126"/>
      <c r="M111" s="755" t="str">
        <f>IF(calculations!AC160,"Describe vessel inspection, maintenance, and record keeping; describe refueling procedures, maintenance facility, extent of work done,etc.; PLEASE ENTER RECOMMENDATIONS TO CORRECT ANY DEVIATIONS FROM ACCEPTED PRACTICES IN THE BOX AT LINE 2.1.2.7.","")</f>
        <v/>
      </c>
      <c r="N111" s="756"/>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7"/>
      <c r="AS111" s="131"/>
    </row>
    <row r="112" spans="1:45" ht="4.5" customHeight="1" x14ac:dyDescent="0.3">
      <c r="A112" s="138"/>
      <c r="B112" s="111"/>
      <c r="C112" s="111"/>
      <c r="D112" s="111"/>
      <c r="E112" s="121"/>
      <c r="F112" s="138"/>
      <c r="G112" s="111"/>
      <c r="H112" s="111"/>
      <c r="I112" s="111"/>
      <c r="J112" s="126"/>
      <c r="K112" s="126"/>
      <c r="L112" s="126"/>
      <c r="M112" s="248"/>
      <c r="N112" s="248"/>
      <c r="O112" s="248"/>
      <c r="P112" s="248"/>
      <c r="Q112" s="248"/>
      <c r="R112" s="248"/>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131"/>
    </row>
    <row r="113" spans="1:48" ht="36" customHeight="1" x14ac:dyDescent="0.3">
      <c r="A113" s="138" t="s">
        <v>1010</v>
      </c>
      <c r="B113" s="111"/>
      <c r="C113" s="111"/>
      <c r="D113" s="111"/>
      <c r="E113" s="121"/>
      <c r="F113" s="138" t="str">
        <f>IF(calculations!AA157,"OFF-SITE PROGRAMS","")</f>
        <v/>
      </c>
      <c r="G113" s="111"/>
      <c r="H113" s="111"/>
      <c r="I113" s="111"/>
      <c r="J113" s="126"/>
      <c r="K113" s="126"/>
      <c r="L113" s="126"/>
      <c r="M113" s="755" t="str">
        <f>IF(calculations!AA157,forms!A217,"")</f>
        <v/>
      </c>
      <c r="N113" s="756"/>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7"/>
      <c r="AS113" s="131"/>
    </row>
    <row r="114" spans="1:48" ht="4.5" customHeight="1" x14ac:dyDescent="0.3">
      <c r="A114" s="138"/>
      <c r="B114" s="111"/>
      <c r="C114" s="111"/>
      <c r="D114" s="111"/>
      <c r="E114" s="121"/>
      <c r="F114" s="138"/>
      <c r="G114" s="111"/>
      <c r="H114" s="111"/>
      <c r="I114" s="111"/>
      <c r="J114" s="126"/>
      <c r="K114" s="126"/>
      <c r="L114" s="126"/>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131"/>
    </row>
    <row r="115" spans="1:48" ht="12.75" customHeight="1" x14ac:dyDescent="0.3">
      <c r="A115" s="138" t="s">
        <v>1451</v>
      </c>
      <c r="B115" s="111"/>
      <c r="C115" s="111"/>
      <c r="D115" s="111"/>
      <c r="E115" s="121"/>
      <c r="F115" s="138"/>
      <c r="G115" s="111"/>
      <c r="H115" s="111"/>
      <c r="I115" s="292" t="str">
        <f>IF(M115&gt;"","REC","")</f>
        <v/>
      </c>
      <c r="J115" s="126"/>
      <c r="K115" s="126"/>
      <c r="L115" s="126"/>
      <c r="M115" s="866"/>
      <c r="N115" s="867"/>
      <c r="O115" s="867"/>
      <c r="P115" s="867"/>
      <c r="Q115" s="867"/>
      <c r="R115" s="867"/>
      <c r="S115" s="867"/>
      <c r="T115" s="867"/>
      <c r="U115" s="867"/>
      <c r="V115" s="867"/>
      <c r="W115" s="867"/>
      <c r="X115" s="867"/>
      <c r="Y115" s="867"/>
      <c r="Z115" s="867"/>
      <c r="AA115" s="867"/>
      <c r="AB115" s="867"/>
      <c r="AC115" s="867"/>
      <c r="AD115" s="867"/>
      <c r="AE115" s="867"/>
      <c r="AF115" s="867"/>
      <c r="AG115" s="867"/>
      <c r="AH115" s="867"/>
      <c r="AI115" s="867"/>
      <c r="AJ115" s="867"/>
      <c r="AK115" s="867"/>
      <c r="AL115" s="867"/>
      <c r="AM115" s="867"/>
      <c r="AN115" s="867"/>
      <c r="AO115" s="867"/>
      <c r="AP115" s="867"/>
      <c r="AQ115" s="867"/>
      <c r="AR115" s="868"/>
      <c r="AS115" s="131"/>
    </row>
    <row r="116" spans="1:48" x14ac:dyDescent="0.3">
      <c r="A116" s="136"/>
      <c r="B116" s="111"/>
      <c r="C116" s="111"/>
      <c r="D116" s="111"/>
      <c r="E116" s="121"/>
      <c r="F116" s="138"/>
      <c r="G116" s="111"/>
      <c r="H116" s="111"/>
      <c r="I116" s="111"/>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31"/>
    </row>
    <row r="117" spans="1:48" ht="14.15" x14ac:dyDescent="0.3">
      <c r="A117" s="182" t="s">
        <v>861</v>
      </c>
      <c r="B117" s="111"/>
      <c r="C117" s="111"/>
      <c r="D117" s="345" t="s">
        <v>900</v>
      </c>
      <c r="E117" s="348"/>
      <c r="F117" s="302"/>
      <c r="G117" s="300"/>
      <c r="H117" s="300"/>
      <c r="I117" s="300"/>
      <c r="J117" s="349"/>
      <c r="K117" s="349"/>
      <c r="L117" s="349"/>
      <c r="M117" s="349"/>
      <c r="N117" s="349"/>
      <c r="O117" s="126"/>
      <c r="P117" s="344" t="str">
        <f>IF(calculations!AH163=1,"","COMPLETE DETAILS FOR GRADE")</f>
        <v/>
      </c>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204" t="str">
        <f>calculations!U151</f>
        <v/>
      </c>
      <c r="AM117" s="126"/>
      <c r="AN117" s="126"/>
      <c r="AO117" s="126"/>
      <c r="AP117" s="126"/>
      <c r="AQ117" s="126"/>
      <c r="AR117" s="126"/>
      <c r="AS117" s="131"/>
    </row>
    <row r="118" spans="1:48" ht="9.75" customHeight="1" x14ac:dyDescent="0.3">
      <c r="A118" s="136"/>
      <c r="B118" s="111"/>
      <c r="C118" s="111"/>
      <c r="D118" s="111"/>
      <c r="E118" s="121"/>
      <c r="F118" s="138"/>
      <c r="G118" s="111"/>
      <c r="H118" s="111"/>
      <c r="I118" s="111"/>
      <c r="J118" s="126"/>
      <c r="K118" s="200" t="s">
        <v>767</v>
      </c>
      <c r="L118" s="110"/>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31"/>
    </row>
    <row r="119" spans="1:48" ht="27" customHeight="1" x14ac:dyDescent="0.35">
      <c r="A119" s="136" t="s">
        <v>17</v>
      </c>
      <c r="B119" s="111"/>
      <c r="C119" s="111"/>
      <c r="D119" s="111"/>
      <c r="E119" s="139" t="str">
        <f>IF(calculations!AC160&gt;1,"check only one box","")</f>
        <v/>
      </c>
      <c r="F119" s="1"/>
      <c r="G119" s="1"/>
      <c r="H119" s="1"/>
      <c r="I119" s="1"/>
      <c r="J119" s="1"/>
      <c r="K119" s="1"/>
      <c r="L119" s="110"/>
      <c r="M119" s="814" t="str">
        <f>IF(calculations!AB150=1,"","Skills-appropriate-to-exposure swim testing is performed and documented for all campers including CITs/LITs; mark NA only if there are no swimming or boating activities.")</f>
        <v>Skills-appropriate-to-exposure swim testing is performed and documented for all campers including CITs/LITs; mark NA only if there are no swimming or boating activities.</v>
      </c>
      <c r="N119" s="814"/>
      <c r="O119" s="814"/>
      <c r="P119" s="814"/>
      <c r="Q119" s="814"/>
      <c r="R119" s="814"/>
      <c r="S119" s="814"/>
      <c r="T119" s="814"/>
      <c r="U119" s="814"/>
      <c r="V119" s="814"/>
      <c r="W119" s="814"/>
      <c r="X119" s="814"/>
      <c r="Y119" s="814"/>
      <c r="Z119" s="814"/>
      <c r="AA119" s="814"/>
      <c r="AB119" s="814"/>
      <c r="AC119" s="814"/>
      <c r="AD119" s="814"/>
      <c r="AE119" s="814"/>
      <c r="AF119" s="814"/>
      <c r="AG119" s="814"/>
      <c r="AH119" s="814"/>
      <c r="AI119" s="814"/>
      <c r="AJ119" s="814"/>
      <c r="AK119" s="814"/>
      <c r="AL119" s="814"/>
      <c r="AM119" s="814"/>
      <c r="AN119" s="814"/>
      <c r="AO119" s="814"/>
      <c r="AP119" s="814"/>
      <c r="AQ119" s="814"/>
      <c r="AR119" s="814"/>
      <c r="AS119" s="131"/>
      <c r="AV119" s="208"/>
    </row>
    <row r="120" spans="1:48" ht="4.5" customHeight="1" x14ac:dyDescent="0.3">
      <c r="A120" s="136"/>
      <c r="B120" s="111"/>
      <c r="C120" s="111"/>
      <c r="D120" s="111"/>
      <c r="E120" s="121"/>
      <c r="F120" s="1"/>
      <c r="G120" s="1"/>
      <c r="H120" s="1"/>
      <c r="I120" s="1"/>
      <c r="J120" s="1"/>
      <c r="K120" s="1"/>
      <c r="L120" s="126"/>
      <c r="M120" s="248"/>
      <c r="N120" s="248"/>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c r="AS120" s="131"/>
    </row>
    <row r="121" spans="1:48" ht="24" customHeight="1" x14ac:dyDescent="0.3">
      <c r="A121" s="135"/>
      <c r="B121" s="111"/>
      <c r="C121" s="111"/>
      <c r="D121" s="111"/>
      <c r="E121" s="110"/>
      <c r="F121" s="111"/>
      <c r="G121" s="111"/>
      <c r="H121" s="111"/>
      <c r="I121" s="293" t="str">
        <f>IF(calculations!AA163=2,"REC","")</f>
        <v/>
      </c>
      <c r="J121" s="111"/>
      <c r="K121" s="110"/>
      <c r="L121" s="111"/>
      <c r="M121" s="764" t="str">
        <f>IF(Rec!C147=1,Rec!D147,IF(calculations!AA163=1,"Describe camper swim testing protocols.",""))</f>
        <v/>
      </c>
      <c r="N121" s="765"/>
      <c r="O121" s="765"/>
      <c r="P121" s="765"/>
      <c r="Q121" s="765"/>
      <c r="R121" s="765"/>
      <c r="S121" s="765"/>
      <c r="T121" s="765"/>
      <c r="U121" s="765"/>
      <c r="V121" s="765"/>
      <c r="W121" s="765"/>
      <c r="X121" s="765"/>
      <c r="Y121" s="765"/>
      <c r="Z121" s="765"/>
      <c r="AA121" s="765"/>
      <c r="AB121" s="765"/>
      <c r="AC121" s="765"/>
      <c r="AD121" s="765"/>
      <c r="AE121" s="765"/>
      <c r="AF121" s="765"/>
      <c r="AG121" s="765"/>
      <c r="AH121" s="765"/>
      <c r="AI121" s="765"/>
      <c r="AJ121" s="765"/>
      <c r="AK121" s="765"/>
      <c r="AL121" s="765"/>
      <c r="AM121" s="765"/>
      <c r="AN121" s="765"/>
      <c r="AO121" s="765"/>
      <c r="AP121" s="765"/>
      <c r="AQ121" s="765"/>
      <c r="AR121" s="766"/>
      <c r="AS121" s="131"/>
    </row>
    <row r="122" spans="1:48" ht="4.5" customHeight="1" x14ac:dyDescent="0.3">
      <c r="A122" s="136"/>
      <c r="B122" s="111"/>
      <c r="C122" s="111"/>
      <c r="D122" s="110"/>
      <c r="E122" s="121"/>
      <c r="F122" s="1"/>
      <c r="G122" s="1"/>
      <c r="H122" s="1"/>
      <c r="I122" s="1"/>
      <c r="J122" s="1"/>
      <c r="K122" s="1"/>
      <c r="L122" s="126"/>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131"/>
    </row>
    <row r="123" spans="1:48" ht="12.9" x14ac:dyDescent="0.35">
      <c r="A123" s="138" t="s">
        <v>18</v>
      </c>
      <c r="B123" s="111"/>
      <c r="C123" s="111"/>
      <c r="D123" s="111"/>
      <c r="E123" s="139" t="str">
        <f>IF(calculations!AC16&gt;1,"check only one box","")</f>
        <v/>
      </c>
      <c r="F123" s="1"/>
      <c r="G123" s="1"/>
      <c r="H123" s="1"/>
      <c r="I123" s="1"/>
      <c r="J123" s="1"/>
      <c r="K123" s="1"/>
      <c r="L123" s="110"/>
      <c r="M123" s="814" t="str">
        <f>IF(calculations!AB150=1,"","Swim testing is performed and documented for all staff including volunteers.")</f>
        <v>Swim testing is performed and documented for all staff including volunteers.</v>
      </c>
      <c r="N123" s="814"/>
      <c r="O123" s="814"/>
      <c r="P123" s="814"/>
      <c r="Q123" s="814"/>
      <c r="R123" s="814"/>
      <c r="S123" s="814"/>
      <c r="T123" s="814"/>
      <c r="U123" s="814"/>
      <c r="V123" s="814"/>
      <c r="W123" s="814"/>
      <c r="X123" s="814"/>
      <c r="Y123" s="814"/>
      <c r="Z123" s="814"/>
      <c r="AA123" s="814"/>
      <c r="AB123" s="814"/>
      <c r="AC123" s="814"/>
      <c r="AD123" s="814"/>
      <c r="AE123" s="814"/>
      <c r="AF123" s="814"/>
      <c r="AG123" s="814"/>
      <c r="AH123" s="814"/>
      <c r="AI123" s="814"/>
      <c r="AJ123" s="814"/>
      <c r="AK123" s="814"/>
      <c r="AL123" s="814"/>
      <c r="AM123" s="814"/>
      <c r="AN123" s="814"/>
      <c r="AO123" s="814"/>
      <c r="AP123" s="814"/>
      <c r="AQ123" s="814"/>
      <c r="AR123" s="814"/>
      <c r="AS123" s="131"/>
    </row>
    <row r="124" spans="1:48" ht="6.75" customHeight="1" x14ac:dyDescent="0.3">
      <c r="A124" s="138"/>
      <c r="B124" s="111"/>
      <c r="C124" s="111"/>
      <c r="D124" s="111"/>
      <c r="E124" s="121"/>
      <c r="F124" s="1"/>
      <c r="G124" s="1"/>
      <c r="H124" s="1"/>
      <c r="I124" s="1"/>
      <c r="J124" s="1"/>
      <c r="K124" s="1"/>
      <c r="L124" s="126"/>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131"/>
    </row>
    <row r="125" spans="1:48" ht="12.75" customHeight="1" x14ac:dyDescent="0.3">
      <c r="A125" s="183"/>
      <c r="B125" s="111"/>
      <c r="C125" s="133"/>
      <c r="D125" s="133"/>
      <c r="E125" s="134"/>
      <c r="F125" s="1"/>
      <c r="G125" s="1"/>
      <c r="H125" s="1"/>
      <c r="I125" s="293" t="str">
        <f>IF(calculations!AA164=2,"REC","")</f>
        <v/>
      </c>
      <c r="J125" s="1"/>
      <c r="K125" s="110"/>
      <c r="L125" s="132"/>
      <c r="M125" s="764" t="str">
        <f>IF(Rec!C148=1,Rec!D148,IF(calculations!AA164=1,"Describe staff swim testing protocols.",""))</f>
        <v/>
      </c>
      <c r="N125" s="765"/>
      <c r="O125" s="765"/>
      <c r="P125" s="765"/>
      <c r="Q125" s="765"/>
      <c r="R125" s="765"/>
      <c r="S125" s="765"/>
      <c r="T125" s="765"/>
      <c r="U125" s="765"/>
      <c r="V125" s="765"/>
      <c r="W125" s="765"/>
      <c r="X125" s="765"/>
      <c r="Y125" s="765"/>
      <c r="Z125" s="765"/>
      <c r="AA125" s="765"/>
      <c r="AB125" s="765"/>
      <c r="AC125" s="765"/>
      <c r="AD125" s="765"/>
      <c r="AE125" s="765"/>
      <c r="AF125" s="765"/>
      <c r="AG125" s="765"/>
      <c r="AH125" s="765"/>
      <c r="AI125" s="765"/>
      <c r="AJ125" s="765"/>
      <c r="AK125" s="765"/>
      <c r="AL125" s="765"/>
      <c r="AM125" s="765"/>
      <c r="AN125" s="765"/>
      <c r="AO125" s="765"/>
      <c r="AP125" s="765"/>
      <c r="AQ125" s="765"/>
      <c r="AR125" s="766"/>
      <c r="AS125" s="131"/>
    </row>
    <row r="126" spans="1:48" ht="4.5" customHeight="1" x14ac:dyDescent="0.3">
      <c r="A126" s="138"/>
      <c r="B126" s="111"/>
      <c r="C126" s="133"/>
      <c r="D126" s="133"/>
      <c r="E126" s="134"/>
      <c r="F126" s="1"/>
      <c r="G126" s="1"/>
      <c r="H126" s="1"/>
      <c r="I126" s="1"/>
      <c r="J126" s="1"/>
      <c r="K126" s="1"/>
      <c r="L126" s="126"/>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131"/>
    </row>
    <row r="127" spans="1:48" ht="39" customHeight="1" x14ac:dyDescent="0.35">
      <c r="A127" s="138" t="s">
        <v>19</v>
      </c>
      <c r="B127" s="111"/>
      <c r="C127" s="133"/>
      <c r="D127" s="111"/>
      <c r="E127" s="139" t="str">
        <f>IF(calculations!AC19&gt;1,"check only one box","")</f>
        <v/>
      </c>
      <c r="F127" s="1"/>
      <c r="G127" s="1"/>
      <c r="H127" s="1"/>
      <c r="I127" s="1"/>
      <c r="J127" s="1"/>
      <c r="K127" s="1"/>
      <c r="L127" s="110"/>
      <c r="M127" s="814" t="str">
        <f>IF(calculations!AB150=1,"","All campers are marked according to their swimming skill so that all staff and lifeguards may easily determine a camper's basic competency; mark NA only if there are no swimming or boating activities.")</f>
        <v>All campers are marked according to their swimming skill so that all staff and lifeguards may easily determine a camper's basic competency; mark NA only if there are no swimming or boating activities.</v>
      </c>
      <c r="N127" s="814"/>
      <c r="O127" s="814"/>
      <c r="P127" s="814"/>
      <c r="Q127" s="814"/>
      <c r="R127" s="814"/>
      <c r="S127" s="814"/>
      <c r="T127" s="814"/>
      <c r="U127" s="814"/>
      <c r="V127" s="814"/>
      <c r="W127" s="814"/>
      <c r="X127" s="814"/>
      <c r="Y127" s="814"/>
      <c r="Z127" s="814"/>
      <c r="AA127" s="814"/>
      <c r="AB127" s="814"/>
      <c r="AC127" s="814"/>
      <c r="AD127" s="814"/>
      <c r="AE127" s="814"/>
      <c r="AF127" s="814"/>
      <c r="AG127" s="814"/>
      <c r="AH127" s="814"/>
      <c r="AI127" s="814"/>
      <c r="AJ127" s="814"/>
      <c r="AK127" s="814"/>
      <c r="AL127" s="814"/>
      <c r="AM127" s="814"/>
      <c r="AN127" s="814"/>
      <c r="AO127" s="814"/>
      <c r="AP127" s="814"/>
      <c r="AQ127" s="814"/>
      <c r="AR127" s="814"/>
      <c r="AS127" s="131"/>
    </row>
    <row r="128" spans="1:48" ht="4.5" customHeight="1" x14ac:dyDescent="0.3">
      <c r="A128" s="138"/>
      <c r="B128" s="111"/>
      <c r="C128" s="133"/>
      <c r="D128" s="133"/>
      <c r="E128" s="158"/>
      <c r="F128" s="1"/>
      <c r="G128" s="1"/>
      <c r="H128" s="1"/>
      <c r="I128" s="1"/>
      <c r="J128" s="1"/>
      <c r="K128" s="1"/>
      <c r="L128" s="126"/>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131"/>
    </row>
    <row r="129" spans="1:45" ht="27" customHeight="1" x14ac:dyDescent="0.3">
      <c r="A129" s="183" t="s">
        <v>1029</v>
      </c>
      <c r="B129" s="111"/>
      <c r="C129" s="133"/>
      <c r="D129" s="133"/>
      <c r="E129" s="134"/>
      <c r="F129" s="156"/>
      <c r="G129" s="133"/>
      <c r="H129" s="133"/>
      <c r="I129" s="55"/>
      <c r="J129" s="133"/>
      <c r="K129" s="110"/>
      <c r="L129" s="132"/>
      <c r="M129" s="764" t="str">
        <f>IF(calculations!AA165=1,"Describe camper marking protocols and how they are managed.","")</f>
        <v/>
      </c>
      <c r="N129" s="765"/>
      <c r="O129" s="765"/>
      <c r="P129" s="765"/>
      <c r="Q129" s="765"/>
      <c r="R129" s="765"/>
      <c r="S129" s="765"/>
      <c r="T129" s="765"/>
      <c r="U129" s="765"/>
      <c r="V129" s="765"/>
      <c r="W129" s="765"/>
      <c r="X129" s="765"/>
      <c r="Y129" s="765"/>
      <c r="Z129" s="765"/>
      <c r="AA129" s="765"/>
      <c r="AB129" s="765"/>
      <c r="AC129" s="765"/>
      <c r="AD129" s="765"/>
      <c r="AE129" s="765"/>
      <c r="AF129" s="765"/>
      <c r="AG129" s="765"/>
      <c r="AH129" s="765"/>
      <c r="AI129" s="765"/>
      <c r="AJ129" s="765"/>
      <c r="AK129" s="765"/>
      <c r="AL129" s="765"/>
      <c r="AM129" s="765"/>
      <c r="AN129" s="765"/>
      <c r="AO129" s="765"/>
      <c r="AP129" s="765"/>
      <c r="AQ129" s="765"/>
      <c r="AR129" s="766"/>
      <c r="AS129" s="131"/>
    </row>
    <row r="130" spans="1:45" ht="4.5" customHeight="1" x14ac:dyDescent="0.3">
      <c r="A130" s="138"/>
      <c r="B130" s="111"/>
      <c r="C130" s="111"/>
      <c r="D130" s="111"/>
      <c r="E130" s="121"/>
      <c r="F130" s="1"/>
      <c r="G130" s="1"/>
      <c r="H130" s="1"/>
      <c r="I130" s="1"/>
      <c r="J130" s="111"/>
      <c r="K130" s="1"/>
      <c r="L130" s="126"/>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131"/>
    </row>
    <row r="131" spans="1:45" x14ac:dyDescent="0.3">
      <c r="A131" s="138" t="s">
        <v>1030</v>
      </c>
      <c r="B131" s="111"/>
      <c r="C131" s="111"/>
      <c r="D131" s="111"/>
      <c r="E131" s="111"/>
      <c r="F131" s="1"/>
      <c r="G131" s="1"/>
      <c r="H131" s="1"/>
      <c r="I131" s="1"/>
      <c r="J131" s="154"/>
      <c r="K131" s="154"/>
      <c r="L131" s="111"/>
      <c r="M131" s="814" t="str">
        <f>IF(calculations!AA165=2,"Either only swimmers or only non-swimmers are marked to designate their abilities.","")</f>
        <v/>
      </c>
      <c r="N131" s="814"/>
      <c r="O131" s="814"/>
      <c r="P131" s="814"/>
      <c r="Q131" s="814"/>
      <c r="R131" s="814"/>
      <c r="S131" s="814"/>
      <c r="T131" s="814"/>
      <c r="U131" s="814"/>
      <c r="V131" s="814"/>
      <c r="W131" s="814"/>
      <c r="X131" s="814"/>
      <c r="Y131" s="814"/>
      <c r="Z131" s="814"/>
      <c r="AA131" s="814"/>
      <c r="AB131" s="814"/>
      <c r="AC131" s="814"/>
      <c r="AD131" s="814"/>
      <c r="AE131" s="814"/>
      <c r="AF131" s="814"/>
      <c r="AG131" s="814"/>
      <c r="AH131" s="814"/>
      <c r="AI131" s="814"/>
      <c r="AJ131" s="814"/>
      <c r="AK131" s="814"/>
      <c r="AL131" s="814"/>
      <c r="AM131" s="814"/>
      <c r="AN131" s="814"/>
      <c r="AO131" s="814"/>
      <c r="AP131" s="814"/>
      <c r="AQ131" s="814"/>
      <c r="AR131" s="814"/>
      <c r="AS131" s="131"/>
    </row>
    <row r="132" spans="1:45" ht="4.5" customHeight="1" x14ac:dyDescent="0.3">
      <c r="A132" s="138"/>
      <c r="B132" s="111"/>
      <c r="C132" s="111"/>
      <c r="D132" s="111"/>
      <c r="E132" s="121"/>
      <c r="F132" s="1"/>
      <c r="G132" s="1"/>
      <c r="H132" s="1"/>
      <c r="I132" s="1"/>
      <c r="J132" s="111"/>
      <c r="K132" s="1"/>
      <c r="L132" s="126"/>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131"/>
    </row>
    <row r="133" spans="1:45" ht="12.9" x14ac:dyDescent="0.35">
      <c r="A133" s="183" t="s">
        <v>1031</v>
      </c>
      <c r="B133" s="111"/>
      <c r="C133" s="111"/>
      <c r="D133" s="111"/>
      <c r="E133" s="139"/>
      <c r="F133" s="157"/>
      <c r="G133" s="111"/>
      <c r="H133" s="111"/>
      <c r="I133" s="55"/>
      <c r="J133" s="111"/>
      <c r="K133" s="110"/>
      <c r="L133" s="132"/>
      <c r="M133" s="764" t="str">
        <f>IF(calculations!AA166=1,"Describe camper marking protocols and how they are managed.","")</f>
        <v/>
      </c>
      <c r="N133" s="765"/>
      <c r="O133" s="765"/>
      <c r="P133" s="765"/>
      <c r="Q133" s="765"/>
      <c r="R133" s="765"/>
      <c r="S133" s="765"/>
      <c r="T133" s="765"/>
      <c r="U133" s="765"/>
      <c r="V133" s="765"/>
      <c r="W133" s="765"/>
      <c r="X133" s="765"/>
      <c r="Y133" s="765"/>
      <c r="Z133" s="765"/>
      <c r="AA133" s="765"/>
      <c r="AB133" s="765"/>
      <c r="AC133" s="765"/>
      <c r="AD133" s="765"/>
      <c r="AE133" s="765"/>
      <c r="AF133" s="765"/>
      <c r="AG133" s="765"/>
      <c r="AH133" s="765"/>
      <c r="AI133" s="765"/>
      <c r="AJ133" s="765"/>
      <c r="AK133" s="765"/>
      <c r="AL133" s="765"/>
      <c r="AM133" s="765"/>
      <c r="AN133" s="765"/>
      <c r="AO133" s="765"/>
      <c r="AP133" s="765"/>
      <c r="AQ133" s="765"/>
      <c r="AR133" s="766"/>
      <c r="AS133" s="131"/>
    </row>
    <row r="134" spans="1:45" ht="4.5" customHeight="1" x14ac:dyDescent="0.3">
      <c r="A134" s="138"/>
      <c r="B134" s="111"/>
      <c r="C134" s="111"/>
      <c r="D134" s="111"/>
      <c r="E134" s="155"/>
      <c r="F134" s="1"/>
      <c r="G134" s="1"/>
      <c r="H134" s="1"/>
      <c r="I134" s="1"/>
      <c r="J134" s="111"/>
      <c r="K134" s="1"/>
      <c r="L134" s="126"/>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131"/>
    </row>
    <row r="135" spans="1:45" x14ac:dyDescent="0.3">
      <c r="A135" s="138" t="s">
        <v>1032</v>
      </c>
      <c r="B135" s="111"/>
      <c r="C135" s="111"/>
      <c r="D135" s="111"/>
      <c r="E135" s="110"/>
      <c r="F135" s="1"/>
      <c r="G135" s="1"/>
      <c r="H135" s="1"/>
      <c r="I135" s="1"/>
      <c r="J135" s="126"/>
      <c r="K135" s="126"/>
      <c r="L135" s="110"/>
      <c r="M135" s="814" t="str">
        <f>IF(calculations!AA166=2,"Swimmers are not marked but the program is designed so campers are not at risk.","")</f>
        <v/>
      </c>
      <c r="N135" s="814"/>
      <c r="O135" s="814"/>
      <c r="P135" s="814"/>
      <c r="Q135" s="814"/>
      <c r="R135" s="814"/>
      <c r="S135" s="814"/>
      <c r="T135" s="814"/>
      <c r="U135" s="814"/>
      <c r="V135" s="814"/>
      <c r="W135" s="814"/>
      <c r="X135" s="814"/>
      <c r="Y135" s="814"/>
      <c r="Z135" s="814"/>
      <c r="AA135" s="814"/>
      <c r="AB135" s="814"/>
      <c r="AC135" s="814"/>
      <c r="AD135" s="814"/>
      <c r="AE135" s="814"/>
      <c r="AF135" s="814"/>
      <c r="AG135" s="814"/>
      <c r="AH135" s="814"/>
      <c r="AI135" s="814"/>
      <c r="AJ135" s="814"/>
      <c r="AK135" s="814"/>
      <c r="AL135" s="814"/>
      <c r="AM135" s="814"/>
      <c r="AN135" s="814"/>
      <c r="AO135" s="814"/>
      <c r="AP135" s="814"/>
      <c r="AQ135" s="814"/>
      <c r="AR135" s="814"/>
      <c r="AS135" s="131"/>
    </row>
    <row r="136" spans="1:45" ht="4.5" customHeight="1" x14ac:dyDescent="0.3">
      <c r="A136" s="138"/>
      <c r="B136" s="111"/>
      <c r="C136" s="111"/>
      <c r="D136" s="111"/>
      <c r="E136" s="121"/>
      <c r="F136" s="1"/>
      <c r="G136" s="1"/>
      <c r="H136" s="1"/>
      <c r="I136" s="1"/>
      <c r="J136" s="111"/>
      <c r="K136" s="1"/>
      <c r="L136" s="126"/>
      <c r="M136" s="248"/>
      <c r="N136" s="248"/>
      <c r="O136" s="248"/>
      <c r="P136" s="248"/>
      <c r="Q136" s="248"/>
      <c r="R136" s="248"/>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131"/>
    </row>
    <row r="137" spans="1:45" ht="25.5" customHeight="1" x14ac:dyDescent="0.35">
      <c r="A137" s="183"/>
      <c r="B137" s="111"/>
      <c r="C137" s="111"/>
      <c r="D137" s="111"/>
      <c r="E137" s="139"/>
      <c r="F137" s="157"/>
      <c r="G137" s="111"/>
      <c r="H137" s="111"/>
      <c r="J137" s="111"/>
      <c r="K137" s="110"/>
      <c r="L137" s="132"/>
      <c r="M137" s="764" t="str">
        <f>IF(calculations!AA167=1,"1) Describe program, any testing, and other protocols. 
2) Clearly explain how risk is avoided.","")</f>
        <v/>
      </c>
      <c r="N137" s="765"/>
      <c r="O137" s="765"/>
      <c r="P137" s="765"/>
      <c r="Q137" s="765"/>
      <c r="R137" s="765"/>
      <c r="S137" s="765"/>
      <c r="T137" s="765"/>
      <c r="U137" s="765"/>
      <c r="V137" s="765"/>
      <c r="W137" s="765"/>
      <c r="X137" s="765"/>
      <c r="Y137" s="765"/>
      <c r="Z137" s="765"/>
      <c r="AA137" s="765"/>
      <c r="AB137" s="765"/>
      <c r="AC137" s="765"/>
      <c r="AD137" s="765"/>
      <c r="AE137" s="765"/>
      <c r="AF137" s="765"/>
      <c r="AG137" s="765"/>
      <c r="AH137" s="765"/>
      <c r="AI137" s="765"/>
      <c r="AJ137" s="765"/>
      <c r="AK137" s="765"/>
      <c r="AL137" s="765"/>
      <c r="AM137" s="765"/>
      <c r="AN137" s="765"/>
      <c r="AO137" s="765"/>
      <c r="AP137" s="765"/>
      <c r="AQ137" s="765"/>
      <c r="AR137" s="766"/>
      <c r="AS137" s="131"/>
    </row>
    <row r="138" spans="1:45" ht="4.5" customHeight="1" x14ac:dyDescent="0.35">
      <c r="A138" s="183"/>
      <c r="B138" s="111"/>
      <c r="C138" s="111"/>
      <c r="D138" s="111"/>
      <c r="E138" s="139"/>
      <c r="F138" s="157"/>
      <c r="G138" s="111"/>
      <c r="H138" s="111"/>
      <c r="I138" s="55"/>
      <c r="J138" s="111"/>
      <c r="K138" s="110"/>
      <c r="L138" s="132"/>
      <c r="M138" s="316"/>
      <c r="N138" s="316"/>
      <c r="O138" s="316"/>
      <c r="P138" s="316"/>
      <c r="Q138" s="316"/>
      <c r="R138" s="316"/>
      <c r="S138" s="316"/>
      <c r="T138" s="316"/>
      <c r="U138" s="316"/>
      <c r="V138" s="316"/>
      <c r="W138" s="316"/>
      <c r="X138" s="316"/>
      <c r="Y138" s="316"/>
      <c r="Z138" s="316"/>
      <c r="AA138" s="316"/>
      <c r="AB138" s="316"/>
      <c r="AC138" s="316"/>
      <c r="AD138" s="316"/>
      <c r="AE138" s="316"/>
      <c r="AF138" s="316"/>
      <c r="AG138" s="316"/>
      <c r="AH138" s="316"/>
      <c r="AI138" s="316"/>
      <c r="AJ138" s="316"/>
      <c r="AK138" s="316"/>
      <c r="AL138" s="316"/>
      <c r="AM138" s="316"/>
      <c r="AN138" s="316"/>
      <c r="AO138" s="316"/>
      <c r="AP138" s="316"/>
      <c r="AQ138" s="316"/>
      <c r="AR138" s="316"/>
      <c r="AS138" s="131"/>
    </row>
    <row r="139" spans="1:45" ht="24.75" customHeight="1" x14ac:dyDescent="0.35">
      <c r="A139" s="183"/>
      <c r="B139" s="111"/>
      <c r="C139" s="111"/>
      <c r="D139" s="111"/>
      <c r="E139" s="139"/>
      <c r="F139" s="157"/>
      <c r="G139" s="111"/>
      <c r="H139" s="111"/>
      <c r="I139" s="293" t="str">
        <f>IF(calculations!AA165=2,"REC","")</f>
        <v/>
      </c>
      <c r="J139" s="111"/>
      <c r="K139" s="110"/>
      <c r="L139" s="132"/>
      <c r="M139" s="764" t="str">
        <f>IF(calculations!AA165=2,Rec!D149,"")</f>
        <v/>
      </c>
      <c r="N139" s="765"/>
      <c r="O139" s="765"/>
      <c r="P139" s="765"/>
      <c r="Q139" s="765"/>
      <c r="R139" s="765"/>
      <c r="S139" s="765"/>
      <c r="T139" s="765"/>
      <c r="U139" s="765"/>
      <c r="V139" s="765"/>
      <c r="W139" s="765"/>
      <c r="X139" s="765"/>
      <c r="Y139" s="765"/>
      <c r="Z139" s="765"/>
      <c r="AA139" s="765"/>
      <c r="AB139" s="765"/>
      <c r="AC139" s="765"/>
      <c r="AD139" s="765"/>
      <c r="AE139" s="765"/>
      <c r="AF139" s="765"/>
      <c r="AG139" s="765"/>
      <c r="AH139" s="765"/>
      <c r="AI139" s="765"/>
      <c r="AJ139" s="765"/>
      <c r="AK139" s="765"/>
      <c r="AL139" s="765"/>
      <c r="AM139" s="765"/>
      <c r="AN139" s="765"/>
      <c r="AO139" s="765"/>
      <c r="AP139" s="765"/>
      <c r="AQ139" s="765"/>
      <c r="AR139" s="766"/>
      <c r="AS139" s="131"/>
    </row>
    <row r="140" spans="1:45" ht="9.75" customHeight="1" x14ac:dyDescent="0.3">
      <c r="A140" s="138"/>
      <c r="B140" s="111"/>
      <c r="C140" s="111"/>
      <c r="D140" s="111"/>
      <c r="E140" s="155"/>
      <c r="F140" s="1"/>
      <c r="G140" s="1"/>
      <c r="H140" s="1"/>
      <c r="I140" s="1"/>
      <c r="J140" s="1"/>
      <c r="K140" s="200" t="s">
        <v>767</v>
      </c>
      <c r="L140" s="126"/>
      <c r="M140" s="248"/>
      <c r="N140" s="248"/>
      <c r="O140" s="248"/>
      <c r="P140" s="1"/>
      <c r="Q140" s="1"/>
      <c r="R140" s="1"/>
      <c r="S140" s="1"/>
      <c r="T140" s="1"/>
      <c r="U140" s="1"/>
      <c r="V140" s="248"/>
      <c r="W140" s="248"/>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c r="AS140" s="131"/>
    </row>
    <row r="141" spans="1:45" ht="13.5" customHeight="1" x14ac:dyDescent="0.35">
      <c r="A141" s="138" t="s">
        <v>20</v>
      </c>
      <c r="B141" s="111"/>
      <c r="C141" s="111"/>
      <c r="D141" s="111"/>
      <c r="E141" s="139"/>
      <c r="F141" s="1"/>
      <c r="G141" s="1"/>
      <c r="H141" s="1"/>
      <c r="I141" s="1"/>
      <c r="J141" s="1"/>
      <c r="K141" s="1"/>
      <c r="L141" s="110"/>
      <c r="M141" s="872" t="str">
        <f>IF(calculations!AB150=1,"","Non-swimmers are segregated to shallow areas only; mark NA if there are no swimming activities.")</f>
        <v>Non-swimmers are segregated to shallow areas only; mark NA if there are no swimming activities.</v>
      </c>
      <c r="N141" s="872"/>
      <c r="O141" s="872"/>
      <c r="P141" s="872"/>
      <c r="Q141" s="872"/>
      <c r="R141" s="872"/>
      <c r="S141" s="872"/>
      <c r="T141" s="872"/>
      <c r="U141" s="872"/>
      <c r="V141" s="872"/>
      <c r="W141" s="872"/>
      <c r="X141" s="872"/>
      <c r="Y141" s="872"/>
      <c r="Z141" s="872"/>
      <c r="AA141" s="872"/>
      <c r="AB141" s="872"/>
      <c r="AC141" s="872"/>
      <c r="AD141" s="872"/>
      <c r="AE141" s="872"/>
      <c r="AF141" s="872"/>
      <c r="AG141" s="872"/>
      <c r="AH141" s="872"/>
      <c r="AI141" s="872"/>
      <c r="AJ141" s="872"/>
      <c r="AK141" s="872"/>
      <c r="AL141" s="872"/>
      <c r="AM141" s="872"/>
      <c r="AN141" s="872"/>
      <c r="AO141" s="872"/>
      <c r="AP141" s="872"/>
      <c r="AQ141" s="872"/>
      <c r="AR141" s="872"/>
      <c r="AS141" s="131"/>
    </row>
    <row r="142" spans="1:45" ht="4.5" customHeight="1" x14ac:dyDescent="0.35">
      <c r="A142" s="138"/>
      <c r="B142" s="111"/>
      <c r="C142" s="111"/>
      <c r="D142" s="111"/>
      <c r="E142" s="139"/>
      <c r="F142" s="1"/>
      <c r="G142" s="1"/>
      <c r="H142" s="1"/>
      <c r="I142" s="1"/>
      <c r="J142" s="1"/>
      <c r="K142" s="1"/>
      <c r="L142" s="110"/>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291"/>
      <c r="AK142" s="291"/>
      <c r="AL142" s="291"/>
      <c r="AM142" s="291"/>
      <c r="AN142" s="291"/>
      <c r="AO142" s="291"/>
      <c r="AP142" s="291"/>
      <c r="AQ142" s="291"/>
      <c r="AR142" s="291"/>
      <c r="AS142" s="131"/>
    </row>
    <row r="143" spans="1:45" ht="26.25" customHeight="1" x14ac:dyDescent="0.35">
      <c r="A143" s="138"/>
      <c r="B143" s="111"/>
      <c r="C143" s="111"/>
      <c r="D143" s="111"/>
      <c r="E143" s="139"/>
      <c r="F143" s="1"/>
      <c r="G143" s="1"/>
      <c r="H143" s="1"/>
      <c r="I143" s="293" t="str">
        <f>IF(calculations!AA168=2,"REC","")</f>
        <v/>
      </c>
      <c r="J143" s="1"/>
      <c r="K143" s="1"/>
      <c r="L143" s="110"/>
      <c r="M143" s="764" t="str">
        <f>IF(calculations!AA168=2,Rec!D150,"")</f>
        <v/>
      </c>
      <c r="N143" s="765"/>
      <c r="O143" s="765"/>
      <c r="P143" s="765"/>
      <c r="Q143" s="765"/>
      <c r="R143" s="765"/>
      <c r="S143" s="765"/>
      <c r="T143" s="765"/>
      <c r="U143" s="765"/>
      <c r="V143" s="765"/>
      <c r="W143" s="765"/>
      <c r="X143" s="765"/>
      <c r="Y143" s="765"/>
      <c r="Z143" s="765"/>
      <c r="AA143" s="765"/>
      <c r="AB143" s="765"/>
      <c r="AC143" s="765"/>
      <c r="AD143" s="765"/>
      <c r="AE143" s="765"/>
      <c r="AF143" s="765"/>
      <c r="AG143" s="765"/>
      <c r="AH143" s="765"/>
      <c r="AI143" s="765"/>
      <c r="AJ143" s="765"/>
      <c r="AK143" s="765"/>
      <c r="AL143" s="765"/>
      <c r="AM143" s="765"/>
      <c r="AN143" s="765"/>
      <c r="AO143" s="765"/>
      <c r="AP143" s="765"/>
      <c r="AQ143" s="765"/>
      <c r="AR143" s="766"/>
      <c r="AS143" s="131"/>
    </row>
    <row r="144" spans="1:45" ht="4.5" customHeight="1" x14ac:dyDescent="0.3">
      <c r="A144" s="138"/>
      <c r="B144" s="111"/>
      <c r="C144" s="111"/>
      <c r="D144" s="111"/>
      <c r="E144" s="155"/>
      <c r="F144" s="1"/>
      <c r="G144" s="1"/>
      <c r="H144" s="1"/>
      <c r="I144" s="1"/>
      <c r="J144" s="1"/>
      <c r="K144" s="1"/>
      <c r="L144" s="110"/>
      <c r="M144" s="248"/>
      <c r="N144" s="248"/>
      <c r="O144" s="248"/>
      <c r="V144" s="248"/>
      <c r="W144" s="248"/>
      <c r="X144" s="248"/>
      <c r="Y144" s="248"/>
      <c r="Z144" s="248"/>
      <c r="AA144" s="248"/>
      <c r="AB144" s="248"/>
      <c r="AC144" s="248"/>
      <c r="AD144" s="248"/>
      <c r="AE144" s="248"/>
      <c r="AF144" s="248"/>
      <c r="AG144" s="248"/>
      <c r="AH144" s="248"/>
      <c r="AI144" s="248"/>
      <c r="AJ144" s="248"/>
      <c r="AK144" s="248"/>
      <c r="AL144" s="248"/>
      <c r="AM144" s="248"/>
      <c r="AN144" s="248"/>
      <c r="AO144" s="248"/>
      <c r="AP144" s="248"/>
      <c r="AQ144" s="248"/>
      <c r="AR144" s="248"/>
      <c r="AS144" s="131"/>
    </row>
    <row r="145" spans="1:48" ht="24.75" customHeight="1" x14ac:dyDescent="0.35">
      <c r="A145" s="138" t="s">
        <v>21</v>
      </c>
      <c r="B145" s="111"/>
      <c r="C145" s="111"/>
      <c r="D145" s="111"/>
      <c r="E145" s="139"/>
      <c r="F145" s="1"/>
      <c r="G145" s="1"/>
      <c r="H145" s="1"/>
      <c r="I145" s="1"/>
      <c r="J145" s="1"/>
      <c r="K145" s="1"/>
      <c r="M145" s="814" t="str">
        <f>IF(calculations!AB150=1,"","Non-swimmers must wear a personal flotation device (PFD) while in any swimming program other than instructional swimming; mark NA if there are no swimming activities.")</f>
        <v>Non-swimmers must wear a personal flotation device (PFD) while in any swimming program other than instructional swimming; mark NA if there are no swimming activities.</v>
      </c>
      <c r="N145" s="814"/>
      <c r="O145" s="814"/>
      <c r="P145" s="814"/>
      <c r="Q145" s="814"/>
      <c r="R145" s="814"/>
      <c r="S145" s="814"/>
      <c r="T145" s="814"/>
      <c r="U145" s="814"/>
      <c r="V145" s="814"/>
      <c r="W145" s="814"/>
      <c r="X145" s="814"/>
      <c r="Y145" s="814"/>
      <c r="Z145" s="814"/>
      <c r="AA145" s="814"/>
      <c r="AB145" s="814"/>
      <c r="AC145" s="814"/>
      <c r="AD145" s="814"/>
      <c r="AE145" s="814"/>
      <c r="AF145" s="814"/>
      <c r="AG145" s="814"/>
      <c r="AH145" s="814"/>
      <c r="AI145" s="814"/>
      <c r="AJ145" s="814"/>
      <c r="AK145" s="814"/>
      <c r="AL145" s="814"/>
      <c r="AM145" s="814"/>
      <c r="AN145" s="814"/>
      <c r="AO145" s="814"/>
      <c r="AP145" s="814"/>
      <c r="AQ145" s="814"/>
      <c r="AR145" s="814"/>
      <c r="AS145" s="131"/>
    </row>
    <row r="146" spans="1:48" ht="4.5" customHeight="1" x14ac:dyDescent="0.35">
      <c r="A146" s="138"/>
      <c r="B146" s="111"/>
      <c r="C146" s="111"/>
      <c r="D146" s="111"/>
      <c r="E146" s="139"/>
      <c r="F146" s="248"/>
      <c r="G146" s="248"/>
      <c r="H146" s="248"/>
      <c r="I146" s="248"/>
      <c r="J146" s="248"/>
      <c r="K146" s="248"/>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291"/>
      <c r="AK146" s="291"/>
      <c r="AL146" s="291"/>
      <c r="AM146" s="291"/>
      <c r="AN146" s="291"/>
      <c r="AO146" s="291"/>
      <c r="AP146" s="291"/>
      <c r="AQ146" s="291"/>
      <c r="AR146" s="291"/>
      <c r="AS146" s="131"/>
    </row>
    <row r="147" spans="1:48" ht="24.75" customHeight="1" x14ac:dyDescent="0.35">
      <c r="A147" s="138"/>
      <c r="B147" s="111"/>
      <c r="C147" s="111"/>
      <c r="D147" s="111"/>
      <c r="E147" s="139"/>
      <c r="F147" s="1"/>
      <c r="G147" s="1"/>
      <c r="H147" s="1"/>
      <c r="I147" s="293" t="str">
        <f>IF(calculations!AA169=2,"REC","")</f>
        <v/>
      </c>
      <c r="J147" s="133"/>
      <c r="K147" s="110"/>
      <c r="L147" s="132"/>
      <c r="M147" s="764" t="str">
        <f>IF(Rec!C151=1,Rec!D151,"")</f>
        <v/>
      </c>
      <c r="N147" s="765"/>
      <c r="O147" s="765"/>
      <c r="P147" s="765"/>
      <c r="Q147" s="765"/>
      <c r="R147" s="765"/>
      <c r="S147" s="765"/>
      <c r="T147" s="765"/>
      <c r="U147" s="765"/>
      <c r="V147" s="765"/>
      <c r="W147" s="765"/>
      <c r="X147" s="765"/>
      <c r="Y147" s="765"/>
      <c r="Z147" s="765"/>
      <c r="AA147" s="765"/>
      <c r="AB147" s="765"/>
      <c r="AC147" s="765"/>
      <c r="AD147" s="765"/>
      <c r="AE147" s="765"/>
      <c r="AF147" s="765"/>
      <c r="AG147" s="765"/>
      <c r="AH147" s="765"/>
      <c r="AI147" s="765"/>
      <c r="AJ147" s="765"/>
      <c r="AK147" s="765"/>
      <c r="AL147" s="765"/>
      <c r="AM147" s="765"/>
      <c r="AN147" s="765"/>
      <c r="AO147" s="765"/>
      <c r="AP147" s="765"/>
      <c r="AQ147" s="765"/>
      <c r="AR147" s="766"/>
      <c r="AS147" s="131"/>
    </row>
    <row r="148" spans="1:48" ht="4.5" customHeight="1" x14ac:dyDescent="0.3">
      <c r="A148" s="138"/>
      <c r="B148" s="111"/>
      <c r="C148" s="111"/>
      <c r="D148" s="111"/>
      <c r="E148" s="155"/>
      <c r="F148" s="1"/>
      <c r="G148" s="1"/>
      <c r="H148" s="1"/>
      <c r="I148" s="1"/>
      <c r="J148" s="1"/>
      <c r="K148" s="1"/>
      <c r="L148" s="126"/>
      <c r="M148" s="248"/>
      <c r="N148" s="248"/>
      <c r="O148" s="248"/>
      <c r="P148" s="248"/>
      <c r="Q148" s="248"/>
      <c r="R148" s="248"/>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131"/>
    </row>
    <row r="149" spans="1:48" ht="61.5" customHeight="1" x14ac:dyDescent="0.35">
      <c r="A149" s="138" t="s">
        <v>309</v>
      </c>
      <c r="B149" s="111"/>
      <c r="C149" s="110"/>
      <c r="D149" s="111"/>
      <c r="E149" s="139"/>
      <c r="F149" s="1"/>
      <c r="G149" s="1"/>
      <c r="H149" s="1"/>
      <c r="I149" s="1"/>
      <c r="J149" s="1"/>
      <c r="K149" s="110"/>
      <c r="L149" s="110"/>
      <c r="M149" s="814" t="str">
        <f>IF(calculations!AB156=1,"",forms!A214)</f>
        <v>1) All boaters are required to wear a personal flotation device (PFD) while in any boat that is less than 26' in length. 
2) At least non-swimmers must wear PFDs in any boat greater than 26' in length. 
3) There are enough PFDs available and accessible for all who are onboard (including staff); it is permissible to require all to wear a PFD; mark NA if there are no boating activities.</v>
      </c>
      <c r="N149" s="814"/>
      <c r="O149" s="814"/>
      <c r="P149" s="814"/>
      <c r="Q149" s="814"/>
      <c r="R149" s="814"/>
      <c r="S149" s="814"/>
      <c r="T149" s="814"/>
      <c r="U149" s="814"/>
      <c r="V149" s="814"/>
      <c r="W149" s="814"/>
      <c r="X149" s="814"/>
      <c r="Y149" s="814"/>
      <c r="Z149" s="814"/>
      <c r="AA149" s="814"/>
      <c r="AB149" s="814"/>
      <c r="AC149" s="814"/>
      <c r="AD149" s="814"/>
      <c r="AE149" s="814"/>
      <c r="AF149" s="814"/>
      <c r="AG149" s="814"/>
      <c r="AH149" s="814"/>
      <c r="AI149" s="814"/>
      <c r="AJ149" s="814"/>
      <c r="AK149" s="814"/>
      <c r="AL149" s="814"/>
      <c r="AM149" s="814"/>
      <c r="AN149" s="814"/>
      <c r="AO149" s="814"/>
      <c r="AP149" s="814"/>
      <c r="AQ149" s="814"/>
      <c r="AR149" s="814"/>
      <c r="AS149" s="131"/>
    </row>
    <row r="150" spans="1:48" ht="4.5" customHeight="1" x14ac:dyDescent="0.35">
      <c r="A150" s="138"/>
      <c r="B150" s="111"/>
      <c r="C150" s="110"/>
      <c r="D150" s="111"/>
      <c r="E150" s="139"/>
      <c r="F150" s="1"/>
      <c r="G150" s="1"/>
      <c r="H150" s="1"/>
      <c r="I150" s="1"/>
      <c r="J150" s="1"/>
      <c r="K150" s="110"/>
      <c r="L150" s="11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131"/>
    </row>
    <row r="151" spans="1:48" ht="47.25" customHeight="1" x14ac:dyDescent="0.35">
      <c r="A151" s="138"/>
      <c r="B151" s="111"/>
      <c r="C151" s="110"/>
      <c r="D151" s="111"/>
      <c r="E151" s="139"/>
      <c r="F151" s="1"/>
      <c r="G151" s="1"/>
      <c r="H151" s="1"/>
      <c r="I151" s="293" t="str">
        <f>IF(calculations!AA170=2,"REC","")</f>
        <v/>
      </c>
      <c r="J151" s="133"/>
      <c r="K151" s="110"/>
      <c r="L151" s="132"/>
      <c r="M151" s="764" t="str">
        <f>IF(Rec!C152=1,Rec!D152,"")</f>
        <v/>
      </c>
      <c r="N151" s="765"/>
      <c r="O151" s="765"/>
      <c r="P151" s="765"/>
      <c r="Q151" s="765"/>
      <c r="R151" s="765"/>
      <c r="S151" s="765"/>
      <c r="T151" s="765"/>
      <c r="U151" s="765"/>
      <c r="V151" s="765"/>
      <c r="W151" s="765"/>
      <c r="X151" s="765"/>
      <c r="Y151" s="765"/>
      <c r="Z151" s="765"/>
      <c r="AA151" s="765"/>
      <c r="AB151" s="765"/>
      <c r="AC151" s="765"/>
      <c r="AD151" s="765"/>
      <c r="AE151" s="765"/>
      <c r="AF151" s="765"/>
      <c r="AG151" s="765"/>
      <c r="AH151" s="765"/>
      <c r="AI151" s="765"/>
      <c r="AJ151" s="765"/>
      <c r="AK151" s="765"/>
      <c r="AL151" s="765"/>
      <c r="AM151" s="765"/>
      <c r="AN151" s="765"/>
      <c r="AO151" s="765"/>
      <c r="AP151" s="765"/>
      <c r="AQ151" s="765"/>
      <c r="AR151" s="766"/>
      <c r="AS151" s="131"/>
    </row>
    <row r="152" spans="1:48" ht="4.5" customHeight="1" x14ac:dyDescent="0.3">
      <c r="A152" s="145"/>
      <c r="B152" s="110"/>
      <c r="C152" s="110"/>
      <c r="D152" s="110"/>
      <c r="E152" s="110"/>
      <c r="F152" s="1"/>
      <c r="G152" s="1"/>
      <c r="H152" s="1"/>
      <c r="I152" s="1"/>
      <c r="J152" s="1"/>
      <c r="K152" s="1"/>
      <c r="L152" s="126"/>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row>
    <row r="153" spans="1:48" s="110" customFormat="1" ht="25.5" customHeight="1" x14ac:dyDescent="0.35">
      <c r="A153" s="138" t="s">
        <v>1033</v>
      </c>
      <c r="B153" s="111"/>
      <c r="D153" s="111"/>
      <c r="E153" s="139"/>
      <c r="F153" s="1"/>
      <c r="G153" s="1"/>
      <c r="H153" s="1"/>
      <c r="I153" s="1"/>
      <c r="J153" s="1"/>
      <c r="K153" s="1"/>
      <c r="M153" s="814" t="str">
        <f>IF(calculations!AB156=1,"","Non-swimmers are allowed on a boat only with direct staff supervision onboard; mark NA if there are no boating activities.")</f>
        <v>Non-swimmers are allowed on a boat only with direct staff supervision onboard; mark NA if there are no boating activities.</v>
      </c>
      <c r="N153" s="814"/>
      <c r="O153" s="814"/>
      <c r="P153" s="814"/>
      <c r="Q153" s="814"/>
      <c r="R153" s="814"/>
      <c r="S153" s="814"/>
      <c r="T153" s="814"/>
      <c r="U153" s="814"/>
      <c r="V153" s="814"/>
      <c r="W153" s="814"/>
      <c r="X153" s="814"/>
      <c r="Y153" s="814"/>
      <c r="Z153" s="814"/>
      <c r="AA153" s="814"/>
      <c r="AB153" s="814"/>
      <c r="AC153" s="814"/>
      <c r="AD153" s="814"/>
      <c r="AE153" s="814"/>
      <c r="AF153" s="814"/>
      <c r="AG153" s="814"/>
      <c r="AH153" s="814"/>
      <c r="AI153" s="814"/>
      <c r="AJ153" s="814"/>
      <c r="AK153" s="814"/>
      <c r="AL153" s="814"/>
      <c r="AM153" s="814"/>
      <c r="AN153" s="814"/>
      <c r="AO153" s="814"/>
      <c r="AP153" s="814"/>
      <c r="AQ153" s="814"/>
      <c r="AR153" s="814"/>
      <c r="AS153" s="131"/>
      <c r="AT153" s="111"/>
      <c r="AU153" s="111"/>
      <c r="AV153" s="111"/>
    </row>
    <row r="154" spans="1:48" s="110" customFormat="1" ht="4.5" customHeight="1" x14ac:dyDescent="0.35">
      <c r="A154" s="138"/>
      <c r="B154" s="111"/>
      <c r="D154" s="111"/>
      <c r="E154" s="139"/>
      <c r="F154" s="1"/>
      <c r="G154" s="1"/>
      <c r="H154" s="1"/>
      <c r="I154" s="1"/>
      <c r="J154" s="1"/>
      <c r="K154" s="1"/>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131"/>
      <c r="AT154" s="111"/>
      <c r="AU154" s="111"/>
      <c r="AV154" s="111"/>
    </row>
    <row r="155" spans="1:48" s="110" customFormat="1" ht="14.25" customHeight="1" x14ac:dyDescent="0.35">
      <c r="A155" s="138"/>
      <c r="B155" s="111"/>
      <c r="D155" s="111"/>
      <c r="E155" s="139"/>
      <c r="F155" s="1"/>
      <c r="G155" s="1"/>
      <c r="H155" s="1"/>
      <c r="I155" s="293" t="str">
        <f>IF(calculations!AA171=2,"REC","")</f>
        <v/>
      </c>
      <c r="J155" s="133"/>
      <c r="L155" s="132"/>
      <c r="M155" s="764" t="str">
        <f>IF(Rec!C153=1,Rec!D153,"")</f>
        <v/>
      </c>
      <c r="N155" s="765"/>
      <c r="O155" s="765"/>
      <c r="P155" s="765"/>
      <c r="Q155" s="765"/>
      <c r="R155" s="765"/>
      <c r="S155" s="765"/>
      <c r="T155" s="765"/>
      <c r="U155" s="765"/>
      <c r="V155" s="765"/>
      <c r="W155" s="765"/>
      <c r="X155" s="765"/>
      <c r="Y155" s="765"/>
      <c r="Z155" s="765"/>
      <c r="AA155" s="765"/>
      <c r="AB155" s="765"/>
      <c r="AC155" s="765"/>
      <c r="AD155" s="765"/>
      <c r="AE155" s="765"/>
      <c r="AF155" s="765"/>
      <c r="AG155" s="765"/>
      <c r="AH155" s="765"/>
      <c r="AI155" s="765"/>
      <c r="AJ155" s="765"/>
      <c r="AK155" s="765"/>
      <c r="AL155" s="765"/>
      <c r="AM155" s="765"/>
      <c r="AN155" s="765"/>
      <c r="AO155" s="765"/>
      <c r="AP155" s="765"/>
      <c r="AQ155" s="765"/>
      <c r="AR155" s="766"/>
      <c r="AS155" s="131"/>
      <c r="AT155" s="111"/>
      <c r="AU155" s="111"/>
      <c r="AV155" s="111"/>
    </row>
    <row r="156" spans="1:48" s="110" customFormat="1" ht="4.5" customHeight="1" x14ac:dyDescent="0.3">
      <c r="A156" s="138"/>
      <c r="B156" s="111"/>
      <c r="C156" s="111"/>
      <c r="D156" s="111"/>
      <c r="E156" s="121"/>
      <c r="F156" s="1"/>
      <c r="G156" s="1"/>
      <c r="H156" s="1"/>
      <c r="I156" s="1"/>
      <c r="J156" s="1"/>
      <c r="L156" s="126"/>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131"/>
      <c r="AT156" s="111"/>
      <c r="AU156" s="111"/>
      <c r="AV156" s="111"/>
    </row>
    <row r="157" spans="1:48" s="110" customFormat="1" ht="50.25" customHeight="1" x14ac:dyDescent="0.35">
      <c r="A157" s="138" t="s">
        <v>1034</v>
      </c>
      <c r="B157" s="111"/>
      <c r="C157" s="111"/>
      <c r="D157" s="111"/>
      <c r="E157" s="139"/>
      <c r="F157" s="1"/>
      <c r="G157" s="1"/>
      <c r="H157" s="1"/>
      <c r="I157" s="1"/>
      <c r="J157" s="1"/>
      <c r="K157" s="1"/>
      <c r="M157" s="814" t="str">
        <f>IF(calculations!Y150,"",forms!A207)</f>
        <v>1) Camp has a documented, easily checked system for tracking all active participants in swimming and boating activities. 
2) Every participant who checks in is checked out before staff proceed to any other activity; mark NA only if there are no swimming or boating activities.</v>
      </c>
      <c r="N157" s="814"/>
      <c r="O157" s="814"/>
      <c r="P157" s="814"/>
      <c r="Q157" s="814"/>
      <c r="R157" s="814"/>
      <c r="S157" s="814"/>
      <c r="T157" s="814"/>
      <c r="U157" s="814"/>
      <c r="V157" s="814"/>
      <c r="W157" s="814"/>
      <c r="X157" s="814"/>
      <c r="Y157" s="814"/>
      <c r="Z157" s="814"/>
      <c r="AA157" s="814"/>
      <c r="AB157" s="814"/>
      <c r="AC157" s="814"/>
      <c r="AD157" s="814"/>
      <c r="AE157" s="814"/>
      <c r="AF157" s="814"/>
      <c r="AG157" s="814"/>
      <c r="AH157" s="814"/>
      <c r="AI157" s="814"/>
      <c r="AJ157" s="814"/>
      <c r="AK157" s="814"/>
      <c r="AL157" s="814"/>
      <c r="AM157" s="814"/>
      <c r="AN157" s="814"/>
      <c r="AO157" s="814"/>
      <c r="AP157" s="814"/>
      <c r="AQ157" s="814"/>
      <c r="AR157" s="814"/>
      <c r="AS157" s="131"/>
      <c r="AT157" s="111"/>
      <c r="AU157" s="111"/>
      <c r="AV157" s="111"/>
    </row>
    <row r="158" spans="1:48" s="110" customFormat="1" ht="4.5" customHeight="1" x14ac:dyDescent="0.3">
      <c r="A158" s="138"/>
      <c r="B158" s="111"/>
      <c r="C158" s="111"/>
      <c r="D158" s="111"/>
      <c r="E158" s="121"/>
      <c r="F158" s="1"/>
      <c r="G158" s="1"/>
      <c r="H158" s="1"/>
      <c r="I158" s="1"/>
      <c r="J158" s="1"/>
      <c r="K158" s="1"/>
      <c r="L158" s="126"/>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131"/>
      <c r="AT158" s="111"/>
      <c r="AU158" s="111"/>
      <c r="AV158" s="111"/>
    </row>
    <row r="159" spans="1:48" s="110" customFormat="1" ht="18.75" customHeight="1" x14ac:dyDescent="0.3">
      <c r="A159" s="183"/>
      <c r="B159" s="111"/>
      <c r="C159" s="111"/>
      <c r="I159" s="293" t="str">
        <f>IF(calculations!AA172=2,"REC","")</f>
        <v/>
      </c>
      <c r="M159" s="764" t="str">
        <f>IF(Rec!C154=1,Rec!D154,"")</f>
        <v/>
      </c>
      <c r="N159" s="765"/>
      <c r="O159" s="765"/>
      <c r="P159" s="765"/>
      <c r="Q159" s="765"/>
      <c r="R159" s="765"/>
      <c r="S159" s="765"/>
      <c r="T159" s="765"/>
      <c r="U159" s="765"/>
      <c r="V159" s="765"/>
      <c r="W159" s="765"/>
      <c r="X159" s="765"/>
      <c r="Y159" s="765"/>
      <c r="Z159" s="765"/>
      <c r="AA159" s="765"/>
      <c r="AB159" s="765"/>
      <c r="AC159" s="765"/>
      <c r="AD159" s="765"/>
      <c r="AE159" s="765"/>
      <c r="AF159" s="765"/>
      <c r="AG159" s="765"/>
      <c r="AH159" s="765"/>
      <c r="AI159" s="765"/>
      <c r="AJ159" s="765"/>
      <c r="AK159" s="765"/>
      <c r="AL159" s="765"/>
      <c r="AM159" s="765"/>
      <c r="AN159" s="765"/>
      <c r="AO159" s="765"/>
      <c r="AP159" s="765"/>
      <c r="AQ159" s="765"/>
      <c r="AR159" s="766"/>
      <c r="AS159" s="131"/>
      <c r="AT159" s="111"/>
      <c r="AU159" s="111"/>
      <c r="AV159" s="111"/>
    </row>
    <row r="160" spans="1:48" s="110" customFormat="1" ht="9" customHeight="1" x14ac:dyDescent="0.3">
      <c r="A160" s="138"/>
      <c r="B160" s="111"/>
      <c r="C160" s="111"/>
      <c r="D160" s="111"/>
      <c r="E160" s="121"/>
      <c r="F160" s="1"/>
      <c r="G160" s="1"/>
      <c r="H160" s="1"/>
      <c r="I160" s="1"/>
      <c r="J160" s="1"/>
      <c r="K160" s="200" t="s">
        <v>767</v>
      </c>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131"/>
      <c r="AT160" s="111"/>
      <c r="AU160" s="111"/>
      <c r="AV160" s="111"/>
    </row>
    <row r="161" spans="1:48" s="110" customFormat="1" ht="25.5" customHeight="1" x14ac:dyDescent="0.35">
      <c r="A161" s="138" t="s">
        <v>1035</v>
      </c>
      <c r="B161" s="111"/>
      <c r="C161" s="111"/>
      <c r="D161" s="111"/>
      <c r="E161" s="139"/>
      <c r="F161" s="1"/>
      <c r="G161" s="1"/>
      <c r="H161" s="1"/>
      <c r="I161" s="1"/>
      <c r="J161" s="1"/>
      <c r="K161" s="1"/>
      <c r="M161" s="814" t="str">
        <f>IF(calculations!AB150=1,"","Camp uses a Buddy system to account for campers during swimming times; mark NA if there are no swimming activities.")</f>
        <v>Camp uses a Buddy system to account for campers during swimming times; mark NA if there are no swimming activities.</v>
      </c>
      <c r="N161" s="814"/>
      <c r="O161" s="814"/>
      <c r="P161" s="814"/>
      <c r="Q161" s="814"/>
      <c r="R161" s="814"/>
      <c r="S161" s="814"/>
      <c r="T161" s="814"/>
      <c r="U161" s="814"/>
      <c r="V161" s="814"/>
      <c r="W161" s="814"/>
      <c r="X161" s="814"/>
      <c r="Y161" s="814"/>
      <c r="Z161" s="814"/>
      <c r="AA161" s="814"/>
      <c r="AB161" s="814"/>
      <c r="AC161" s="814"/>
      <c r="AD161" s="814"/>
      <c r="AE161" s="814"/>
      <c r="AF161" s="814"/>
      <c r="AG161" s="814"/>
      <c r="AH161" s="814"/>
      <c r="AI161" s="814"/>
      <c r="AJ161" s="814"/>
      <c r="AK161" s="814"/>
      <c r="AL161" s="814"/>
      <c r="AM161" s="814"/>
      <c r="AN161" s="814"/>
      <c r="AO161" s="814"/>
      <c r="AP161" s="814"/>
      <c r="AQ161" s="814"/>
      <c r="AR161" s="814"/>
      <c r="AS161" s="131"/>
      <c r="AT161" s="111"/>
      <c r="AU161" s="111"/>
      <c r="AV161" s="111"/>
    </row>
    <row r="162" spans="1:48" s="110" customFormat="1" ht="3.75" customHeight="1" x14ac:dyDescent="0.3">
      <c r="A162" s="138"/>
      <c r="B162" s="111"/>
      <c r="C162" s="111"/>
      <c r="D162" s="111"/>
      <c r="E162" s="121"/>
      <c r="F162" s="1"/>
      <c r="G162" s="1"/>
      <c r="H162" s="1"/>
      <c r="I162" s="1"/>
      <c r="K162" s="200"/>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31"/>
      <c r="AT162" s="111"/>
      <c r="AU162" s="111"/>
      <c r="AV162" s="111"/>
    </row>
    <row r="163" spans="1:48" s="110" customFormat="1" x14ac:dyDescent="0.3">
      <c r="A163" s="138" t="s">
        <v>1036</v>
      </c>
      <c r="B163" s="111"/>
      <c r="C163" s="111"/>
      <c r="D163" s="111"/>
      <c r="E163" s="111"/>
      <c r="F163" s="1"/>
      <c r="G163" s="1"/>
      <c r="H163" s="1"/>
      <c r="I163" s="1"/>
      <c r="J163" s="241"/>
      <c r="K163" s="251"/>
      <c r="L163" s="245"/>
      <c r="M163" s="814" t="str">
        <f>IF(calculations!AA173=1,"Camp allows only 2-person buddy groups.","")</f>
        <v/>
      </c>
      <c r="N163" s="814"/>
      <c r="O163" s="814"/>
      <c r="P163" s="814"/>
      <c r="Q163" s="814"/>
      <c r="R163" s="814"/>
      <c r="S163" s="814"/>
      <c r="T163" s="814"/>
      <c r="U163" s="814"/>
      <c r="V163" s="814"/>
      <c r="W163" s="814"/>
      <c r="X163" s="814"/>
      <c r="Y163" s="814"/>
      <c r="Z163" s="814"/>
      <c r="AA163" s="814"/>
      <c r="AB163" s="814"/>
      <c r="AC163" s="814"/>
      <c r="AD163" s="814"/>
      <c r="AE163" s="814"/>
      <c r="AF163" s="814"/>
      <c r="AG163" s="814"/>
      <c r="AH163" s="814"/>
      <c r="AI163" s="814"/>
      <c r="AJ163" s="814"/>
      <c r="AK163" s="814"/>
      <c r="AL163" s="814"/>
      <c r="AM163" s="814"/>
      <c r="AN163" s="814"/>
      <c r="AO163" s="814"/>
      <c r="AP163" s="814"/>
      <c r="AQ163" s="814"/>
      <c r="AR163" s="814"/>
      <c r="AS163" s="131"/>
      <c r="AT163" s="111"/>
      <c r="AU163" s="111"/>
      <c r="AV163" s="111"/>
    </row>
    <row r="164" spans="1:48" s="110" customFormat="1" ht="9" customHeight="1" x14ac:dyDescent="0.3">
      <c r="A164" s="138"/>
      <c r="B164" s="111"/>
      <c r="C164" s="111"/>
      <c r="D164" s="111"/>
      <c r="E164" s="121"/>
      <c r="F164" s="1"/>
      <c r="G164" s="1"/>
      <c r="H164" s="1"/>
      <c r="I164" s="1"/>
      <c r="J164" s="145"/>
      <c r="K164" s="200"/>
      <c r="L164" s="245"/>
      <c r="M164" s="270"/>
      <c r="N164" s="270"/>
      <c r="O164" s="270"/>
      <c r="P164" s="270"/>
      <c r="Q164" s="270"/>
      <c r="R164" s="270"/>
      <c r="S164" s="270"/>
      <c r="T164" s="270"/>
      <c r="U164" s="270"/>
      <c r="V164" s="270"/>
      <c r="W164" s="270"/>
      <c r="X164" s="270"/>
      <c r="Y164" s="270"/>
      <c r="Z164" s="270"/>
      <c r="AA164" s="270"/>
      <c r="AB164" s="270"/>
      <c r="AC164" s="270"/>
      <c r="AD164" s="270"/>
      <c r="AE164" s="270"/>
      <c r="AF164" s="270"/>
      <c r="AG164" s="270"/>
      <c r="AH164" s="270"/>
      <c r="AI164" s="270"/>
      <c r="AJ164" s="270"/>
      <c r="AK164" s="270"/>
      <c r="AL164" s="270"/>
      <c r="AM164" s="270"/>
      <c r="AN164" s="270"/>
      <c r="AO164" s="270"/>
      <c r="AP164" s="270"/>
      <c r="AQ164" s="270"/>
      <c r="AR164" s="270"/>
      <c r="AS164" s="131"/>
      <c r="AT164" s="111"/>
      <c r="AU164" s="111"/>
      <c r="AV164" s="111"/>
    </row>
    <row r="165" spans="1:48" s="110" customFormat="1" x14ac:dyDescent="0.3">
      <c r="A165" s="138" t="s">
        <v>1037</v>
      </c>
      <c r="B165" s="111"/>
      <c r="C165" s="111"/>
      <c r="D165" s="111"/>
      <c r="E165" s="111"/>
      <c r="F165" s="1"/>
      <c r="G165" s="1"/>
      <c r="H165" s="1"/>
      <c r="I165" s="1"/>
      <c r="J165" s="145"/>
      <c r="K165" s="251"/>
      <c r="L165" s="245"/>
      <c r="M165" s="814" t="str">
        <f>IF(calculations!AA173=1,"Camp ensures that every child has a buddy in the water.","")</f>
        <v/>
      </c>
      <c r="N165" s="814"/>
      <c r="O165" s="814"/>
      <c r="P165" s="814"/>
      <c r="Q165" s="814"/>
      <c r="R165" s="814"/>
      <c r="S165" s="814"/>
      <c r="T165" s="814"/>
      <c r="U165" s="814"/>
      <c r="V165" s="814"/>
      <c r="W165" s="814"/>
      <c r="X165" s="814"/>
      <c r="Y165" s="814"/>
      <c r="Z165" s="814"/>
      <c r="AA165" s="814"/>
      <c r="AB165" s="814"/>
      <c r="AC165" s="814"/>
      <c r="AD165" s="814"/>
      <c r="AE165" s="814"/>
      <c r="AF165" s="814"/>
      <c r="AG165" s="814"/>
      <c r="AH165" s="814"/>
      <c r="AI165" s="814"/>
      <c r="AJ165" s="814"/>
      <c r="AK165" s="814"/>
      <c r="AL165" s="814"/>
      <c r="AM165" s="814"/>
      <c r="AN165" s="814"/>
      <c r="AO165" s="814"/>
      <c r="AP165" s="814"/>
      <c r="AQ165" s="814"/>
      <c r="AR165" s="814"/>
      <c r="AS165" s="131"/>
      <c r="AT165" s="111"/>
      <c r="AU165" s="111"/>
      <c r="AV165" s="111"/>
    </row>
    <row r="166" spans="1:48" s="110" customFormat="1" ht="8.25" customHeight="1" x14ac:dyDescent="0.3">
      <c r="A166" s="138"/>
      <c r="B166" s="111"/>
      <c r="C166" s="111"/>
      <c r="D166" s="111"/>
      <c r="E166" s="121"/>
      <c r="F166" s="1"/>
      <c r="G166" s="1"/>
      <c r="H166" s="1"/>
      <c r="I166" s="1"/>
      <c r="J166" s="145"/>
      <c r="K166" s="200"/>
      <c r="L166" s="241"/>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c r="AO166" s="294"/>
      <c r="AP166" s="294"/>
      <c r="AQ166" s="294"/>
      <c r="AR166" s="294"/>
      <c r="AS166" s="131"/>
      <c r="AT166" s="111"/>
      <c r="AU166" s="111"/>
      <c r="AV166" s="111"/>
    </row>
    <row r="167" spans="1:48" s="110" customFormat="1" x14ac:dyDescent="0.3">
      <c r="A167" s="138" t="s">
        <v>1038</v>
      </c>
      <c r="B167" s="111"/>
      <c r="C167" s="111"/>
      <c r="D167" s="111"/>
      <c r="E167" s="111"/>
      <c r="F167" s="1"/>
      <c r="G167" s="1"/>
      <c r="H167" s="1"/>
      <c r="I167" s="1"/>
      <c r="J167" s="145"/>
      <c r="K167" s="251"/>
      <c r="L167" s="245"/>
      <c r="M167" s="814" t="str">
        <f>IF(calculations!AA173=1,"Camp verifies that buddies stay together by having buddy checks.","")</f>
        <v/>
      </c>
      <c r="N167" s="814"/>
      <c r="O167" s="814"/>
      <c r="P167" s="814"/>
      <c r="Q167" s="814"/>
      <c r="R167" s="814"/>
      <c r="S167" s="814"/>
      <c r="T167" s="814"/>
      <c r="U167" s="814"/>
      <c r="V167" s="814"/>
      <c r="W167" s="814"/>
      <c r="X167" s="814"/>
      <c r="Y167" s="814"/>
      <c r="Z167" s="814"/>
      <c r="AA167" s="814"/>
      <c r="AB167" s="814"/>
      <c r="AC167" s="814"/>
      <c r="AD167" s="814"/>
      <c r="AE167" s="814"/>
      <c r="AF167" s="814"/>
      <c r="AG167" s="814"/>
      <c r="AH167" s="814"/>
      <c r="AI167" s="814"/>
      <c r="AJ167" s="814"/>
      <c r="AK167" s="814"/>
      <c r="AL167" s="814"/>
      <c r="AM167" s="814"/>
      <c r="AN167" s="814"/>
      <c r="AO167" s="814"/>
      <c r="AP167" s="814"/>
      <c r="AQ167" s="814"/>
      <c r="AR167" s="814"/>
      <c r="AS167" s="131"/>
      <c r="AT167" s="111"/>
      <c r="AU167" s="111"/>
      <c r="AV167" s="111"/>
    </row>
    <row r="168" spans="1:48" s="110" customFormat="1" ht="8.25" customHeight="1" x14ac:dyDescent="0.3">
      <c r="A168" s="138"/>
      <c r="B168" s="111"/>
      <c r="C168" s="111"/>
      <c r="D168" s="111"/>
      <c r="E168" s="121"/>
      <c r="F168" s="1"/>
      <c r="G168" s="1"/>
      <c r="H168" s="1"/>
      <c r="I168" s="1"/>
      <c r="J168" s="145"/>
      <c r="K168" s="200"/>
      <c r="L168" s="241"/>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131"/>
      <c r="AT168" s="111"/>
      <c r="AU168" s="111"/>
      <c r="AV168" s="111"/>
    </row>
    <row r="169" spans="1:48" s="110" customFormat="1" ht="27" customHeight="1" x14ac:dyDescent="0.3">
      <c r="A169" s="138" t="s">
        <v>1039</v>
      </c>
      <c r="B169" s="111"/>
      <c r="C169" s="111"/>
      <c r="D169" s="111"/>
      <c r="E169" s="111"/>
      <c r="F169" s="1"/>
      <c r="G169" s="1"/>
      <c r="H169" s="1"/>
      <c r="I169" s="1"/>
      <c r="J169" s="145"/>
      <c r="K169" s="252"/>
      <c r="L169" s="245"/>
      <c r="M169" s="814" t="str">
        <f>IF(calculations!AA173=1,"Camp has buddy checks at regular enough intervals to insure that buddies are staying together and watching one another; generally this is approximately every every 5 to 10 minutes.","")</f>
        <v/>
      </c>
      <c r="N169" s="814"/>
      <c r="O169" s="814"/>
      <c r="P169" s="814"/>
      <c r="Q169" s="814"/>
      <c r="R169" s="814"/>
      <c r="S169" s="814"/>
      <c r="T169" s="814"/>
      <c r="U169" s="814"/>
      <c r="V169" s="814"/>
      <c r="W169" s="814"/>
      <c r="X169" s="814"/>
      <c r="Y169" s="814"/>
      <c r="Z169" s="814"/>
      <c r="AA169" s="814"/>
      <c r="AB169" s="814"/>
      <c r="AC169" s="814"/>
      <c r="AD169" s="814"/>
      <c r="AE169" s="814"/>
      <c r="AF169" s="814"/>
      <c r="AG169" s="814"/>
      <c r="AH169" s="814"/>
      <c r="AI169" s="814"/>
      <c r="AJ169" s="814"/>
      <c r="AK169" s="814"/>
      <c r="AL169" s="814"/>
      <c r="AM169" s="814"/>
      <c r="AN169" s="814"/>
      <c r="AO169" s="814"/>
      <c r="AP169" s="814"/>
      <c r="AQ169" s="814"/>
      <c r="AR169" s="814"/>
      <c r="AS169" s="131"/>
      <c r="AT169" s="111"/>
      <c r="AU169" s="111"/>
      <c r="AV169" s="111"/>
    </row>
    <row r="170" spans="1:48" s="110" customFormat="1" ht="4.5" customHeight="1" x14ac:dyDescent="0.3">
      <c r="A170" s="138"/>
      <c r="B170" s="111"/>
      <c r="C170" s="111"/>
      <c r="D170" s="111"/>
      <c r="E170" s="111"/>
      <c r="F170" s="1"/>
      <c r="G170" s="1"/>
      <c r="H170" s="1"/>
      <c r="I170" s="1"/>
      <c r="J170" s="145"/>
      <c r="K170" s="252"/>
      <c r="L170" s="245"/>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131"/>
      <c r="AT170" s="111"/>
      <c r="AU170" s="111"/>
      <c r="AV170" s="111"/>
    </row>
    <row r="171" spans="1:48" s="110" customFormat="1" ht="61.5" customHeight="1" x14ac:dyDescent="0.3">
      <c r="A171" s="138"/>
      <c r="B171" s="111"/>
      <c r="C171" s="111"/>
      <c r="D171" s="111"/>
      <c r="E171" s="111"/>
      <c r="F171" s="1"/>
      <c r="G171" s="1"/>
      <c r="H171" s="1"/>
      <c r="I171" s="293" t="str">
        <f>IF(calculations!AA173=2,"REC",IF(calculations!AD173=2,"REC",""))</f>
        <v/>
      </c>
      <c r="M171" s="764" t="str">
        <f>IF(Rec!C155=1,Rec!E155,IF(calculations!AC173=1,Rec!E159,""))</f>
        <v/>
      </c>
      <c r="N171" s="765"/>
      <c r="O171" s="765"/>
      <c r="P171" s="765"/>
      <c r="Q171" s="765"/>
      <c r="R171" s="765"/>
      <c r="S171" s="765"/>
      <c r="T171" s="765"/>
      <c r="U171" s="765"/>
      <c r="V171" s="765"/>
      <c r="W171" s="765"/>
      <c r="X171" s="765"/>
      <c r="Y171" s="765"/>
      <c r="Z171" s="765"/>
      <c r="AA171" s="765"/>
      <c r="AB171" s="765"/>
      <c r="AC171" s="765"/>
      <c r="AD171" s="765"/>
      <c r="AE171" s="765"/>
      <c r="AF171" s="765"/>
      <c r="AG171" s="765"/>
      <c r="AH171" s="765"/>
      <c r="AI171" s="765"/>
      <c r="AJ171" s="765"/>
      <c r="AK171" s="765"/>
      <c r="AL171" s="765"/>
      <c r="AM171" s="765"/>
      <c r="AN171" s="765"/>
      <c r="AO171" s="765"/>
      <c r="AP171" s="765"/>
      <c r="AQ171" s="765"/>
      <c r="AR171" s="766"/>
      <c r="AS171" s="131"/>
      <c r="AT171" s="111"/>
      <c r="AU171" s="111"/>
      <c r="AV171" s="111"/>
    </row>
    <row r="172" spans="1:48" s="110" customFormat="1" ht="4.5" customHeight="1" x14ac:dyDescent="0.3">
      <c r="A172" s="138"/>
      <c r="B172" s="111"/>
      <c r="C172" s="111"/>
      <c r="D172" s="111"/>
      <c r="F172" s="1"/>
      <c r="G172" s="1"/>
      <c r="H172" s="1"/>
      <c r="I172" s="1"/>
      <c r="J172" s="69"/>
      <c r="K172" s="200"/>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41"/>
      <c r="AK172" s="241"/>
      <c r="AL172" s="241"/>
      <c r="AM172" s="241"/>
      <c r="AN172" s="241"/>
      <c r="AO172" s="241"/>
      <c r="AP172" s="241"/>
      <c r="AQ172" s="241"/>
      <c r="AR172" s="241"/>
      <c r="AS172" s="131"/>
      <c r="AT172" s="111"/>
      <c r="AU172" s="111"/>
      <c r="AV172" s="111"/>
    </row>
    <row r="173" spans="1:48" s="110" customFormat="1" ht="37.5" customHeight="1" x14ac:dyDescent="0.3">
      <c r="A173" s="138" t="s">
        <v>1040</v>
      </c>
      <c r="B173" s="111"/>
      <c r="C173" s="111"/>
      <c r="D173" s="111"/>
      <c r="F173" s="1"/>
      <c r="G173" s="1"/>
      <c r="H173" s="1"/>
      <c r="I173" s="1"/>
      <c r="J173" s="214"/>
      <c r="K173" s="214"/>
      <c r="L173" s="245"/>
      <c r="M173" s="814" t="str">
        <f>IF(calculations!Y150,"","1) There is an established protocol (EAP) for a missing swimmer or boater that is initiated by a clear, distinct, and unique sound that initiates the EAP. 
2) The EAP is documented and trained so that all staff understand their role in an emergency.")</f>
        <v>1) There is an established protocol (EAP) for a missing swimmer or boater that is initiated by a clear, distinct, and unique sound that initiates the EAP. 
2) The EAP is documented and trained so that all staff understand their role in an emergency.</v>
      </c>
      <c r="N173" s="814"/>
      <c r="O173" s="814"/>
      <c r="P173" s="814"/>
      <c r="Q173" s="814"/>
      <c r="R173" s="814"/>
      <c r="S173" s="814"/>
      <c r="T173" s="814"/>
      <c r="U173" s="814"/>
      <c r="V173" s="814"/>
      <c r="W173" s="814"/>
      <c r="X173" s="814"/>
      <c r="Y173" s="814"/>
      <c r="Z173" s="814"/>
      <c r="AA173" s="814"/>
      <c r="AB173" s="814"/>
      <c r="AC173" s="814"/>
      <c r="AD173" s="814"/>
      <c r="AE173" s="814"/>
      <c r="AF173" s="814"/>
      <c r="AG173" s="814"/>
      <c r="AH173" s="814"/>
      <c r="AI173" s="814"/>
      <c r="AJ173" s="814"/>
      <c r="AK173" s="814"/>
      <c r="AL173" s="814"/>
      <c r="AM173" s="814"/>
      <c r="AN173" s="814"/>
      <c r="AO173" s="814"/>
      <c r="AP173" s="814"/>
      <c r="AQ173" s="814"/>
      <c r="AR173" s="814"/>
      <c r="AS173" s="131"/>
      <c r="AT173" s="111"/>
      <c r="AU173" s="111"/>
      <c r="AV173" s="111"/>
    </row>
    <row r="174" spans="1:48" s="110" customFormat="1" ht="4.5" customHeight="1" x14ac:dyDescent="0.3">
      <c r="A174" s="136"/>
      <c r="B174" s="111"/>
      <c r="C174" s="111"/>
      <c r="D174" s="111"/>
      <c r="F174" s="1"/>
      <c r="G174" s="1"/>
      <c r="H174" s="1"/>
      <c r="I174" s="1"/>
      <c r="J174" s="214"/>
      <c r="K174" s="214"/>
      <c r="L174" s="245"/>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131"/>
      <c r="AT174" s="111"/>
      <c r="AU174" s="111"/>
      <c r="AV174" s="111"/>
    </row>
    <row r="175" spans="1:48" s="110" customFormat="1" ht="12.75" customHeight="1" x14ac:dyDescent="0.35">
      <c r="A175" s="135"/>
      <c r="B175" s="111"/>
      <c r="C175" s="111"/>
      <c r="D175" s="111"/>
      <c r="E175" s="139"/>
      <c r="F175" s="138"/>
      <c r="G175" s="111"/>
      <c r="H175" s="111"/>
      <c r="I175" s="55" t="str">
        <f>IF(calculations!AA207=2,"REC","")</f>
        <v/>
      </c>
      <c r="J175" s="250"/>
      <c r="K175" s="250"/>
      <c r="L175" s="245"/>
      <c r="M175" s="764" t="str">
        <f>IF(calculations!AA178=1,"Describe protocol including sound.","")</f>
        <v/>
      </c>
      <c r="N175" s="765"/>
      <c r="O175" s="765"/>
      <c r="P175" s="765"/>
      <c r="Q175" s="765"/>
      <c r="R175" s="765"/>
      <c r="S175" s="765"/>
      <c r="T175" s="765"/>
      <c r="U175" s="765"/>
      <c r="V175" s="765"/>
      <c r="W175" s="765"/>
      <c r="X175" s="765"/>
      <c r="Y175" s="765"/>
      <c r="Z175" s="765"/>
      <c r="AA175" s="765"/>
      <c r="AB175" s="765"/>
      <c r="AC175" s="765"/>
      <c r="AD175" s="765"/>
      <c r="AE175" s="765"/>
      <c r="AF175" s="765"/>
      <c r="AG175" s="765"/>
      <c r="AH175" s="765"/>
      <c r="AI175" s="765"/>
      <c r="AJ175" s="765"/>
      <c r="AK175" s="765"/>
      <c r="AL175" s="765"/>
      <c r="AM175" s="765"/>
      <c r="AN175" s="765"/>
      <c r="AO175" s="765"/>
      <c r="AP175" s="765"/>
      <c r="AQ175" s="765"/>
      <c r="AR175" s="766"/>
      <c r="AS175" s="131"/>
      <c r="AT175" s="111"/>
      <c r="AU175" s="111"/>
      <c r="AV175" s="111"/>
    </row>
    <row r="176" spans="1:48" s="110" customFormat="1" ht="4.5" customHeight="1" x14ac:dyDescent="0.35">
      <c r="A176" s="135"/>
      <c r="B176" s="111"/>
      <c r="C176" s="111"/>
      <c r="D176" s="111"/>
      <c r="E176" s="139"/>
    </row>
    <row r="177" spans="1:48" s="110" customFormat="1" ht="24" customHeight="1" x14ac:dyDescent="0.35">
      <c r="A177" s="135"/>
      <c r="B177" s="111"/>
      <c r="C177" s="111"/>
      <c r="D177" s="111"/>
      <c r="E177" s="139"/>
      <c r="I177" s="293" t="str">
        <f>IF(calculations!AA178=2,"REC","")</f>
        <v/>
      </c>
      <c r="M177" s="764" t="str">
        <f>IF(Rec!C160=1,Rec!D160,"")</f>
        <v/>
      </c>
      <c r="N177" s="765"/>
      <c r="O177" s="765"/>
      <c r="P177" s="765"/>
      <c r="Q177" s="765"/>
      <c r="R177" s="765"/>
      <c r="S177" s="765"/>
      <c r="T177" s="765"/>
      <c r="U177" s="765"/>
      <c r="V177" s="765"/>
      <c r="W177" s="765"/>
      <c r="X177" s="765"/>
      <c r="Y177" s="765"/>
      <c r="Z177" s="765"/>
      <c r="AA177" s="765"/>
      <c r="AB177" s="765"/>
      <c r="AC177" s="765"/>
      <c r="AD177" s="765"/>
      <c r="AE177" s="765"/>
      <c r="AF177" s="765"/>
      <c r="AG177" s="765"/>
      <c r="AH177" s="765"/>
      <c r="AI177" s="765"/>
      <c r="AJ177" s="765"/>
      <c r="AK177" s="765"/>
      <c r="AL177" s="765"/>
      <c r="AM177" s="765"/>
      <c r="AN177" s="765"/>
      <c r="AO177" s="765"/>
      <c r="AP177" s="765"/>
      <c r="AQ177" s="765"/>
      <c r="AR177" s="766"/>
      <c r="AS177" s="244"/>
      <c r="AT177" s="244"/>
      <c r="AU177" s="244"/>
    </row>
    <row r="178" spans="1:48" s="110" customFormat="1" ht="4.5" customHeight="1" x14ac:dyDescent="0.35">
      <c r="A178" s="135"/>
      <c r="B178" s="111"/>
      <c r="C178" s="111"/>
      <c r="D178" s="111"/>
      <c r="E178" s="139"/>
      <c r="F178" s="138"/>
      <c r="G178" s="111"/>
      <c r="H178" s="111"/>
      <c r="I178" s="111"/>
      <c r="J178" s="250"/>
      <c r="K178" s="250"/>
      <c r="L178" s="245"/>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131"/>
      <c r="AT178" s="111"/>
      <c r="AU178" s="111"/>
      <c r="AV178" s="111"/>
    </row>
    <row r="179" spans="1:48" s="110" customFormat="1" ht="12.75" customHeight="1" x14ac:dyDescent="0.3">
      <c r="A179" s="135"/>
      <c r="B179" s="111"/>
      <c r="C179" s="111"/>
      <c r="D179" s="111"/>
      <c r="F179" s="116" t="str">
        <f>IF(calculations!Y150,"","COMMENTS")</f>
        <v>COMMENTS</v>
      </c>
      <c r="J179" s="755"/>
      <c r="K179" s="756"/>
      <c r="L179" s="756"/>
      <c r="M179" s="756"/>
      <c r="N179" s="756"/>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7"/>
      <c r="AS179" s="131"/>
      <c r="AT179" s="111"/>
      <c r="AU179" s="111"/>
      <c r="AV179" s="111"/>
    </row>
    <row r="180" spans="1:48" s="110" customFormat="1" x14ac:dyDescent="0.3">
      <c r="A180" s="136"/>
      <c r="B180" s="111"/>
      <c r="C180" s="111"/>
      <c r="D180" s="111"/>
      <c r="E180" s="121"/>
      <c r="AS180" s="131"/>
      <c r="AT180" s="111"/>
      <c r="AU180" s="111"/>
      <c r="AV180" s="111"/>
    </row>
    <row r="181" spans="1:48" s="110" customFormat="1" ht="14.15" x14ac:dyDescent="0.3">
      <c r="A181" s="209" t="s">
        <v>862</v>
      </c>
      <c r="B181" s="111"/>
      <c r="D181" s="137" t="s">
        <v>899</v>
      </c>
      <c r="E181" s="121"/>
      <c r="AL181" s="298" t="str">
        <f>calculations!U162</f>
        <v/>
      </c>
      <c r="AM181" s="298"/>
      <c r="AS181" s="131"/>
      <c r="AT181" s="111"/>
      <c r="AU181" s="111"/>
      <c r="AV181" s="111"/>
    </row>
    <row r="182" spans="1:48" s="110" customFormat="1" x14ac:dyDescent="0.3">
      <c r="A182" s="136"/>
      <c r="B182" s="111"/>
      <c r="C182" s="111"/>
      <c r="D182" s="111"/>
      <c r="E182" s="121"/>
      <c r="K182" s="185" t="s">
        <v>1020</v>
      </c>
      <c r="AS182" s="131"/>
      <c r="AT182" s="111"/>
      <c r="AU182" s="111"/>
      <c r="AV182" s="111"/>
    </row>
    <row r="183" spans="1:48" s="110" customFormat="1" ht="40.5" customHeight="1" x14ac:dyDescent="0.3">
      <c r="A183" s="138" t="s">
        <v>23</v>
      </c>
      <c r="B183" s="111"/>
      <c r="C183" s="111"/>
      <c r="D183" s="111"/>
      <c r="E183" s="111"/>
      <c r="F183" s="1"/>
      <c r="G183" s="1"/>
      <c r="H183" s="1"/>
      <c r="I183" s="1"/>
      <c r="J183" s="154"/>
      <c r="K183" s="198"/>
      <c r="L183" s="149"/>
      <c r="M183" s="814" t="str">
        <f>IF(calculations!Y150,"",forms!A215)</f>
        <v>1) Lifeguards are provided for all aquatic programs. 2) All aquatic programs are supervised by at least two lifeguards, one of whom is 18 or older. 3) There is a certified, experienced supervisor for each aquatic program who is at least 21. 4) The  minimum lifeguard-to-swimmer ratio is 1 to 25.</v>
      </c>
      <c r="N183" s="814"/>
      <c r="O183" s="814"/>
      <c r="P183" s="814"/>
      <c r="Q183" s="814"/>
      <c r="R183" s="814"/>
      <c r="S183" s="814"/>
      <c r="T183" s="814"/>
      <c r="U183" s="814"/>
      <c r="V183" s="814"/>
      <c r="W183" s="814"/>
      <c r="X183" s="814"/>
      <c r="Y183" s="814"/>
      <c r="Z183" s="814"/>
      <c r="AA183" s="814"/>
      <c r="AB183" s="814"/>
      <c r="AC183" s="814"/>
      <c r="AD183" s="814"/>
      <c r="AE183" s="814"/>
      <c r="AF183" s="814"/>
      <c r="AG183" s="814"/>
      <c r="AH183" s="814"/>
      <c r="AI183" s="814"/>
      <c r="AJ183" s="814"/>
      <c r="AK183" s="814"/>
      <c r="AL183" s="814"/>
      <c r="AM183" s="814"/>
      <c r="AN183" s="814"/>
      <c r="AO183" s="814"/>
      <c r="AP183" s="814"/>
      <c r="AQ183" s="814"/>
      <c r="AR183" s="814"/>
      <c r="AS183" s="131"/>
      <c r="AT183" s="111"/>
      <c r="AU183" s="111"/>
      <c r="AV183" s="111"/>
    </row>
    <row r="184" spans="1:48" s="110" customFormat="1" ht="4.5" customHeight="1" x14ac:dyDescent="0.3">
      <c r="A184" s="138"/>
      <c r="B184" s="111"/>
      <c r="C184" s="111"/>
      <c r="D184" s="111"/>
      <c r="E184" s="111"/>
      <c r="F184" s="1"/>
      <c r="G184" s="1"/>
      <c r="H184" s="1"/>
      <c r="I184" s="1"/>
      <c r="J184" s="154"/>
      <c r="K184" s="198"/>
      <c r="L184" s="149"/>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131"/>
      <c r="AT184" s="111"/>
      <c r="AU184" s="111"/>
      <c r="AV184" s="111"/>
    </row>
    <row r="185" spans="1:48" s="110" customFormat="1" ht="48.75" customHeight="1" x14ac:dyDescent="0.3">
      <c r="A185" s="138"/>
      <c r="B185" s="111"/>
      <c r="C185" s="111"/>
      <c r="D185" s="111"/>
      <c r="E185" s="111"/>
      <c r="F185" s="1"/>
      <c r="G185" s="1"/>
      <c r="H185" s="1"/>
      <c r="I185" s="293" t="str">
        <f>IF(calculations!AA179=2,"REC","")</f>
        <v/>
      </c>
      <c r="M185" s="764" t="str">
        <f>IF(Rec!C161=1,Rec!D161,"")</f>
        <v/>
      </c>
      <c r="N185" s="765"/>
      <c r="O185" s="765"/>
      <c r="P185" s="765"/>
      <c r="Q185" s="765"/>
      <c r="R185" s="765"/>
      <c r="S185" s="765"/>
      <c r="T185" s="765"/>
      <c r="U185" s="765"/>
      <c r="V185" s="765"/>
      <c r="W185" s="765"/>
      <c r="X185" s="765"/>
      <c r="Y185" s="765"/>
      <c r="Z185" s="765"/>
      <c r="AA185" s="765"/>
      <c r="AB185" s="765"/>
      <c r="AC185" s="765"/>
      <c r="AD185" s="765"/>
      <c r="AE185" s="765"/>
      <c r="AF185" s="765"/>
      <c r="AG185" s="765"/>
      <c r="AH185" s="765"/>
      <c r="AI185" s="765"/>
      <c r="AJ185" s="765"/>
      <c r="AK185" s="765"/>
      <c r="AL185" s="765"/>
      <c r="AM185" s="765"/>
      <c r="AN185" s="765"/>
      <c r="AO185" s="765"/>
      <c r="AP185" s="765"/>
      <c r="AQ185" s="765"/>
      <c r="AR185" s="766"/>
      <c r="AS185" s="131"/>
      <c r="AT185" s="111"/>
      <c r="AU185" s="111"/>
      <c r="AV185" s="111"/>
    </row>
    <row r="186" spans="1:48" s="110" customFormat="1" ht="4.5" customHeight="1" x14ac:dyDescent="0.3">
      <c r="A186" s="138"/>
      <c r="B186" s="111"/>
      <c r="C186" s="111"/>
      <c r="D186" s="111"/>
      <c r="E186" s="121"/>
      <c r="K186" s="200"/>
      <c r="L186" s="129"/>
      <c r="M186" s="241"/>
      <c r="N186" s="241"/>
      <c r="O186" s="241"/>
      <c r="P186" s="241"/>
      <c r="Q186" s="241"/>
      <c r="R186" s="241"/>
      <c r="S186" s="241"/>
      <c r="T186" s="241"/>
      <c r="U186" s="241"/>
      <c r="V186" s="241"/>
      <c r="W186" s="241"/>
      <c r="X186" s="241"/>
      <c r="Y186" s="241"/>
      <c r="Z186" s="241"/>
      <c r="AA186" s="241"/>
      <c r="AB186" s="241"/>
      <c r="AC186" s="241"/>
      <c r="AD186" s="241"/>
      <c r="AE186" s="241"/>
      <c r="AF186" s="241"/>
      <c r="AG186" s="241"/>
      <c r="AH186" s="241"/>
      <c r="AI186" s="241"/>
      <c r="AJ186" s="241"/>
      <c r="AK186" s="241"/>
      <c r="AL186" s="241"/>
      <c r="AM186" s="241"/>
      <c r="AN186" s="241"/>
      <c r="AO186" s="241"/>
      <c r="AP186" s="241"/>
      <c r="AQ186" s="241"/>
      <c r="AR186" s="241"/>
      <c r="AS186" s="131"/>
      <c r="AT186" s="111"/>
      <c r="AU186" s="111"/>
      <c r="AV186" s="111"/>
    </row>
    <row r="187" spans="1:48" s="110" customFormat="1" ht="25.5" customHeight="1" x14ac:dyDescent="0.3">
      <c r="A187" s="302" t="s">
        <v>24</v>
      </c>
      <c r="B187" s="300"/>
      <c r="C187" s="111"/>
      <c r="D187" s="111"/>
      <c r="E187" s="111"/>
      <c r="F187" s="1"/>
      <c r="G187" s="1"/>
      <c r="H187" s="1"/>
      <c r="I187" s="1"/>
      <c r="J187" s="154"/>
      <c r="K187" s="198"/>
      <c r="L187" s="149"/>
      <c r="M187" s="814" t="str">
        <f>IF(calculations!Y150,"","Lifeguards have current approved certifications (lifeguard, CPR, FA) appropriate for the type of water they are guarding (pool, brown-water, surf),")</f>
        <v>Lifeguards have current approved certifications (lifeguard, CPR, FA) appropriate for the type of water they are guarding (pool, brown-water, surf),</v>
      </c>
      <c r="N187" s="814"/>
      <c r="O187" s="814"/>
      <c r="P187" s="814"/>
      <c r="Q187" s="814"/>
      <c r="R187" s="814"/>
      <c r="S187" s="814"/>
      <c r="T187" s="814"/>
      <c r="U187" s="814"/>
      <c r="V187" s="814"/>
      <c r="W187" s="814"/>
      <c r="X187" s="814"/>
      <c r="Y187" s="814"/>
      <c r="Z187" s="814"/>
      <c r="AA187" s="814"/>
      <c r="AB187" s="814"/>
      <c r="AC187" s="814"/>
      <c r="AD187" s="814"/>
      <c r="AE187" s="814"/>
      <c r="AF187" s="814"/>
      <c r="AG187" s="814"/>
      <c r="AH187" s="814"/>
      <c r="AI187" s="814"/>
      <c r="AJ187" s="814"/>
      <c r="AK187" s="814"/>
      <c r="AL187" s="814"/>
      <c r="AM187" s="814"/>
      <c r="AN187" s="814"/>
      <c r="AO187" s="814"/>
      <c r="AP187" s="814"/>
      <c r="AQ187" s="814"/>
      <c r="AR187" s="814"/>
      <c r="AS187" s="131"/>
      <c r="AT187" s="111"/>
      <c r="AU187" s="111"/>
      <c r="AV187" s="111"/>
    </row>
    <row r="188" spans="1:48" s="110" customFormat="1" ht="4.5" customHeight="1" x14ac:dyDescent="0.3">
      <c r="A188" s="302"/>
      <c r="B188" s="300"/>
      <c r="C188" s="111"/>
      <c r="D188" s="111"/>
      <c r="E188" s="111"/>
      <c r="F188" s="1"/>
      <c r="G188" s="1"/>
      <c r="H188" s="1"/>
      <c r="I188" s="1"/>
      <c r="J188" s="154"/>
      <c r="K188" s="198"/>
      <c r="L188" s="149"/>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131"/>
      <c r="AT188" s="111"/>
      <c r="AU188" s="111"/>
      <c r="AV188" s="111"/>
    </row>
    <row r="189" spans="1:48" s="110" customFormat="1" ht="25.5" customHeight="1" x14ac:dyDescent="0.3">
      <c r="A189" s="302"/>
      <c r="B189" s="300"/>
      <c r="C189" s="111"/>
      <c r="D189" s="111"/>
      <c r="E189" s="111"/>
      <c r="F189" s="1"/>
      <c r="G189" s="1"/>
      <c r="H189" s="1"/>
      <c r="I189" s="293" t="str">
        <f>IF(calculations!AA180=2,"REC","")</f>
        <v/>
      </c>
      <c r="J189" s="154"/>
      <c r="K189" s="198"/>
      <c r="L189" s="149"/>
      <c r="M189" s="764" t="str">
        <f>IF(Rec!C162=1,Rec!D162,"")</f>
        <v/>
      </c>
      <c r="N189" s="765"/>
      <c r="O189" s="765"/>
      <c r="P189" s="765"/>
      <c r="Q189" s="765"/>
      <c r="R189" s="765"/>
      <c r="S189" s="765"/>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c r="AO189" s="765"/>
      <c r="AP189" s="765"/>
      <c r="AQ189" s="765"/>
      <c r="AR189" s="766"/>
      <c r="AS189" s="131"/>
      <c r="AT189" s="111"/>
      <c r="AU189" s="111"/>
      <c r="AV189" s="111"/>
    </row>
    <row r="190" spans="1:48" s="110" customFormat="1" ht="4.5" customHeight="1" x14ac:dyDescent="0.3">
      <c r="A190" s="302"/>
      <c r="B190" s="300"/>
      <c r="C190" s="111"/>
      <c r="D190" s="111"/>
      <c r="E190" s="121"/>
      <c r="K190" s="200"/>
      <c r="L190" s="129"/>
      <c r="M190" s="241"/>
      <c r="N190" s="241"/>
      <c r="O190" s="241"/>
      <c r="P190" s="241"/>
      <c r="Q190" s="241"/>
      <c r="R190" s="241"/>
      <c r="S190" s="241"/>
      <c r="T190" s="241"/>
      <c r="U190" s="241"/>
      <c r="V190" s="241"/>
      <c r="W190" s="241"/>
      <c r="X190" s="241"/>
      <c r="Y190" s="241"/>
      <c r="Z190" s="241"/>
      <c r="AA190" s="241"/>
      <c r="AB190" s="241"/>
      <c r="AC190" s="241"/>
      <c r="AD190" s="241"/>
      <c r="AE190" s="241"/>
      <c r="AF190" s="241"/>
      <c r="AG190" s="241"/>
      <c r="AH190" s="241"/>
      <c r="AI190" s="241"/>
      <c r="AJ190" s="241"/>
      <c r="AK190" s="241"/>
      <c r="AL190" s="241"/>
      <c r="AM190" s="241"/>
      <c r="AN190" s="241"/>
      <c r="AO190" s="241"/>
      <c r="AP190" s="241"/>
      <c r="AQ190" s="241"/>
      <c r="AR190" s="241"/>
      <c r="AS190" s="131"/>
      <c r="AT190" s="111"/>
      <c r="AU190" s="111"/>
      <c r="AV190" s="111"/>
    </row>
    <row r="191" spans="1:48" s="110" customFormat="1" ht="39.75" customHeight="1" x14ac:dyDescent="0.3">
      <c r="A191" s="302" t="s">
        <v>25</v>
      </c>
      <c r="B191" s="300"/>
      <c r="C191" s="111"/>
      <c r="D191" s="111"/>
      <c r="E191" s="111"/>
      <c r="F191" s="1"/>
      <c r="G191" s="1"/>
      <c r="H191" s="1"/>
      <c r="I191" s="1"/>
      <c r="J191" s="154"/>
      <c r="K191" s="198"/>
      <c r="L191" s="149"/>
      <c r="M191" s="814" t="str">
        <f>IF(calculations!Y150,"","Active lifeguards are rescue ready - properly positioned, properly attired (identifying shirt/uniform, hat/glasses for protection against sun/glare, and properly equipped (rescue tube, fanny pack, whistle).")</f>
        <v>Active lifeguards are rescue ready - properly positioned, properly attired (identifying shirt/uniform, hat/glasses for protection against sun/glare, and properly equipped (rescue tube, fanny pack, whistle).</v>
      </c>
      <c r="N191" s="814"/>
      <c r="O191" s="814"/>
      <c r="P191" s="814"/>
      <c r="Q191" s="814"/>
      <c r="R191" s="814"/>
      <c r="S191" s="814"/>
      <c r="T191" s="814"/>
      <c r="U191" s="814"/>
      <c r="V191" s="814"/>
      <c r="W191" s="814"/>
      <c r="X191" s="814"/>
      <c r="Y191" s="814"/>
      <c r="Z191" s="814"/>
      <c r="AA191" s="814"/>
      <c r="AB191" s="814"/>
      <c r="AC191" s="814"/>
      <c r="AD191" s="814"/>
      <c r="AE191" s="814"/>
      <c r="AF191" s="814"/>
      <c r="AG191" s="814"/>
      <c r="AH191" s="814"/>
      <c r="AI191" s="814"/>
      <c r="AJ191" s="814"/>
      <c r="AK191" s="814"/>
      <c r="AL191" s="814"/>
      <c r="AM191" s="814"/>
      <c r="AN191" s="814"/>
      <c r="AO191" s="814"/>
      <c r="AP191" s="814"/>
      <c r="AQ191" s="814"/>
      <c r="AR191" s="814"/>
      <c r="AS191" s="131"/>
      <c r="AT191" s="111"/>
      <c r="AU191" s="111"/>
      <c r="AV191" s="111"/>
    </row>
    <row r="192" spans="1:48" s="110" customFormat="1" ht="4.5" customHeight="1" x14ac:dyDescent="0.3">
      <c r="A192" s="302"/>
      <c r="B192" s="300"/>
      <c r="C192" s="111"/>
      <c r="D192" s="111"/>
      <c r="E192" s="111"/>
      <c r="F192" s="1"/>
      <c r="G192" s="1"/>
      <c r="H192" s="1"/>
      <c r="I192" s="1"/>
      <c r="J192" s="154"/>
      <c r="K192" s="198"/>
      <c r="L192" s="149"/>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131"/>
      <c r="AT192" s="111"/>
      <c r="AU192" s="111"/>
      <c r="AV192" s="111"/>
    </row>
    <row r="193" spans="1:48" s="110" customFormat="1" ht="39.75" customHeight="1" x14ac:dyDescent="0.3">
      <c r="A193" s="302"/>
      <c r="B193" s="300"/>
      <c r="C193" s="111"/>
      <c r="D193" s="111"/>
      <c r="E193" s="111"/>
      <c r="F193" s="1"/>
      <c r="G193" s="1"/>
      <c r="H193" s="1"/>
      <c r="I193" s="293" t="str">
        <f>IF(calculations!AA181=2,"REC","")</f>
        <v/>
      </c>
      <c r="J193" s="154"/>
      <c r="K193" s="198"/>
      <c r="L193" s="149"/>
      <c r="M193" s="764" t="str">
        <f>IF(Rec!C163=1,Rec!D163,"")</f>
        <v/>
      </c>
      <c r="N193" s="765"/>
      <c r="O193" s="765"/>
      <c r="P193" s="765"/>
      <c r="Q193" s="765"/>
      <c r="R193" s="765"/>
      <c r="S193" s="765"/>
      <c r="T193" s="765"/>
      <c r="U193" s="765"/>
      <c r="V193" s="765"/>
      <c r="W193" s="765"/>
      <c r="X193" s="765"/>
      <c r="Y193" s="765"/>
      <c r="Z193" s="765"/>
      <c r="AA193" s="765"/>
      <c r="AB193" s="765"/>
      <c r="AC193" s="765"/>
      <c r="AD193" s="765"/>
      <c r="AE193" s="765"/>
      <c r="AF193" s="765"/>
      <c r="AG193" s="765"/>
      <c r="AH193" s="765"/>
      <c r="AI193" s="765"/>
      <c r="AJ193" s="765"/>
      <c r="AK193" s="765"/>
      <c r="AL193" s="765"/>
      <c r="AM193" s="765"/>
      <c r="AN193" s="765"/>
      <c r="AO193" s="765"/>
      <c r="AP193" s="765"/>
      <c r="AQ193" s="765"/>
      <c r="AR193" s="766"/>
      <c r="AS193" s="131"/>
      <c r="AT193" s="111"/>
      <c r="AU193" s="111"/>
      <c r="AV193" s="111"/>
    </row>
    <row r="194" spans="1:48" s="110" customFormat="1" ht="4.5" customHeight="1" x14ac:dyDescent="0.3">
      <c r="A194" s="302"/>
      <c r="B194" s="300"/>
      <c r="C194" s="111"/>
      <c r="D194" s="111"/>
      <c r="E194" s="121"/>
      <c r="K194" s="200"/>
      <c r="L194" s="129"/>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1"/>
      <c r="AQ194" s="241"/>
      <c r="AR194" s="241"/>
      <c r="AS194" s="131"/>
      <c r="AT194" s="111"/>
      <c r="AU194" s="111"/>
      <c r="AV194" s="111"/>
    </row>
    <row r="195" spans="1:48" s="110" customFormat="1" ht="36" customHeight="1" x14ac:dyDescent="0.3">
      <c r="A195" s="302" t="s">
        <v>26</v>
      </c>
      <c r="B195" s="300"/>
      <c r="C195" s="111"/>
      <c r="D195" s="111"/>
      <c r="E195" s="111"/>
      <c r="F195" s="1"/>
      <c r="G195" s="1"/>
      <c r="H195" s="1"/>
      <c r="I195" s="1"/>
      <c r="J195" s="154"/>
      <c r="K195" s="198"/>
      <c r="L195" s="149"/>
      <c r="M195" s="814" t="str">
        <f>IF(calculations!Y150,"","1) Lifeguards rotate positions at least every 30 minutes. 
2) Lifeguards have at least 10 minutes of non-guarding duties (or rest) for every hour of active scanning.")</f>
        <v>1) Lifeguards rotate positions at least every 30 minutes. 
2) Lifeguards have at least 10 minutes of non-guarding duties (or rest) for every hour of active scanning.</v>
      </c>
      <c r="N195" s="814"/>
      <c r="O195" s="814"/>
      <c r="P195" s="814"/>
      <c r="Q195" s="814"/>
      <c r="R195" s="814"/>
      <c r="S195" s="814"/>
      <c r="T195" s="814"/>
      <c r="U195" s="814"/>
      <c r="V195" s="814"/>
      <c r="W195" s="814"/>
      <c r="X195" s="814"/>
      <c r="Y195" s="814"/>
      <c r="Z195" s="814"/>
      <c r="AA195" s="814"/>
      <c r="AB195" s="814"/>
      <c r="AC195" s="814"/>
      <c r="AD195" s="814"/>
      <c r="AE195" s="814"/>
      <c r="AF195" s="814"/>
      <c r="AG195" s="814"/>
      <c r="AH195" s="814"/>
      <c r="AI195" s="814"/>
      <c r="AJ195" s="814"/>
      <c r="AK195" s="814"/>
      <c r="AL195" s="814"/>
      <c r="AM195" s="814"/>
      <c r="AN195" s="814"/>
      <c r="AO195" s="814"/>
      <c r="AP195" s="814"/>
      <c r="AQ195" s="814"/>
      <c r="AR195" s="814"/>
      <c r="AS195" s="131"/>
      <c r="AT195" s="111"/>
      <c r="AU195" s="111"/>
      <c r="AV195" s="111"/>
    </row>
    <row r="196" spans="1:48" s="110" customFormat="1" ht="4.5" customHeight="1" x14ac:dyDescent="0.3">
      <c r="A196" s="302"/>
      <c r="B196" s="300"/>
      <c r="C196" s="111"/>
      <c r="D196" s="111"/>
      <c r="E196" s="111"/>
      <c r="F196" s="1"/>
      <c r="G196" s="1"/>
      <c r="H196" s="1"/>
      <c r="I196" s="1"/>
      <c r="J196" s="154"/>
      <c r="K196" s="198"/>
      <c r="L196" s="149"/>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131"/>
      <c r="AT196" s="111"/>
      <c r="AU196" s="111"/>
      <c r="AV196" s="111"/>
    </row>
    <row r="197" spans="1:48" s="110" customFormat="1" ht="36" customHeight="1" x14ac:dyDescent="0.3">
      <c r="A197" s="302"/>
      <c r="B197" s="300"/>
      <c r="C197" s="111"/>
      <c r="D197" s="111"/>
      <c r="E197" s="111"/>
      <c r="F197" s="1"/>
      <c r="G197" s="1"/>
      <c r="H197" s="1"/>
      <c r="I197" s="293" t="str">
        <f>IF(calculations!AA182=2,"REC","")</f>
        <v/>
      </c>
      <c r="J197" s="154"/>
      <c r="K197" s="198"/>
      <c r="L197" s="149"/>
      <c r="M197" s="764" t="str">
        <f>IF(Rec!C164=1,CONCATENATE("IF SIGNIFICANT:  ",Rec!D164),"")</f>
        <v/>
      </c>
      <c r="N197" s="765"/>
      <c r="O197" s="765"/>
      <c r="P197" s="765"/>
      <c r="Q197" s="765"/>
      <c r="R197" s="765"/>
      <c r="S197" s="765"/>
      <c r="T197" s="765"/>
      <c r="U197" s="765"/>
      <c r="V197" s="765"/>
      <c r="W197" s="765"/>
      <c r="X197" s="765"/>
      <c r="Y197" s="765"/>
      <c r="Z197" s="765"/>
      <c r="AA197" s="765"/>
      <c r="AB197" s="765"/>
      <c r="AC197" s="765"/>
      <c r="AD197" s="765"/>
      <c r="AE197" s="765"/>
      <c r="AF197" s="765"/>
      <c r="AG197" s="765"/>
      <c r="AH197" s="765"/>
      <c r="AI197" s="765"/>
      <c r="AJ197" s="765"/>
      <c r="AK197" s="765"/>
      <c r="AL197" s="765"/>
      <c r="AM197" s="765"/>
      <c r="AN197" s="765"/>
      <c r="AO197" s="765"/>
      <c r="AP197" s="765"/>
      <c r="AQ197" s="765"/>
      <c r="AR197" s="766"/>
      <c r="AS197" s="131"/>
      <c r="AT197" s="111"/>
      <c r="AU197" s="111"/>
      <c r="AV197" s="111"/>
    </row>
    <row r="198" spans="1:48" s="110" customFormat="1" ht="4.5" customHeight="1" x14ac:dyDescent="0.3">
      <c r="A198" s="302"/>
      <c r="B198" s="300"/>
      <c r="C198" s="111"/>
      <c r="D198" s="111"/>
      <c r="E198" s="121"/>
      <c r="K198" s="200"/>
      <c r="L198" s="129"/>
      <c r="M198" s="241"/>
      <c r="N198" s="241"/>
      <c r="O198" s="241"/>
      <c r="P198" s="241"/>
      <c r="Q198" s="241"/>
      <c r="R198" s="241"/>
      <c r="S198" s="241"/>
      <c r="T198" s="241"/>
      <c r="U198" s="241"/>
      <c r="V198" s="241"/>
      <c r="W198" s="241"/>
      <c r="X198" s="241"/>
      <c r="Y198" s="241"/>
      <c r="Z198" s="241"/>
      <c r="AA198" s="241"/>
      <c r="AB198" s="241"/>
      <c r="AC198" s="241"/>
      <c r="AD198" s="241"/>
      <c r="AE198" s="241"/>
      <c r="AF198" s="241"/>
      <c r="AG198" s="241"/>
      <c r="AH198" s="241"/>
      <c r="AI198" s="241"/>
      <c r="AJ198" s="241"/>
      <c r="AK198" s="241"/>
      <c r="AL198" s="241"/>
      <c r="AM198" s="241"/>
      <c r="AN198" s="241"/>
      <c r="AO198" s="241"/>
      <c r="AP198" s="241"/>
      <c r="AQ198" s="241"/>
      <c r="AR198" s="241"/>
      <c r="AS198" s="131"/>
      <c r="AT198" s="111"/>
      <c r="AU198" s="111"/>
      <c r="AV198" s="111"/>
    </row>
    <row r="199" spans="1:48" s="110" customFormat="1" ht="12.75" customHeight="1" x14ac:dyDescent="0.3">
      <c r="A199" s="302" t="s">
        <v>27</v>
      </c>
      <c r="B199" s="300"/>
      <c r="C199" s="111"/>
      <c r="D199" s="111"/>
      <c r="E199" s="111"/>
      <c r="F199" s="1"/>
      <c r="G199" s="1"/>
      <c r="H199" s="1"/>
      <c r="I199" s="1"/>
      <c r="J199" s="154"/>
      <c r="K199" s="198"/>
      <c r="L199" s="149"/>
      <c r="M199" s="814" t="str">
        <f>IF(calculations!Y150,"","The aquatic EAP is clearly stated, thoroughly trained, and frequently tested/drilled.")</f>
        <v>The aquatic EAP is clearly stated, thoroughly trained, and frequently tested/drilled.</v>
      </c>
      <c r="N199" s="814"/>
      <c r="O199" s="814"/>
      <c r="P199" s="814"/>
      <c r="Q199" s="814"/>
      <c r="R199" s="814"/>
      <c r="S199" s="814"/>
      <c r="T199" s="814"/>
      <c r="U199" s="814"/>
      <c r="V199" s="814"/>
      <c r="W199" s="814"/>
      <c r="X199" s="814"/>
      <c r="Y199" s="814"/>
      <c r="Z199" s="814"/>
      <c r="AA199" s="814"/>
      <c r="AB199" s="814"/>
      <c r="AC199" s="814"/>
      <c r="AD199" s="814"/>
      <c r="AE199" s="814"/>
      <c r="AF199" s="814"/>
      <c r="AG199" s="814"/>
      <c r="AH199" s="814"/>
      <c r="AI199" s="814"/>
      <c r="AJ199" s="814"/>
      <c r="AK199" s="814"/>
      <c r="AL199" s="814"/>
      <c r="AM199" s="814"/>
      <c r="AN199" s="814"/>
      <c r="AO199" s="814"/>
      <c r="AP199" s="814"/>
      <c r="AQ199" s="814"/>
      <c r="AR199" s="814"/>
      <c r="AS199" s="131"/>
      <c r="AT199" s="111"/>
      <c r="AU199" s="111"/>
      <c r="AV199" s="111"/>
    </row>
    <row r="200" spans="1:48" s="110" customFormat="1" ht="4.5" customHeight="1" x14ac:dyDescent="0.3">
      <c r="A200" s="138"/>
      <c r="B200" s="111"/>
      <c r="C200" s="111"/>
      <c r="D200" s="111"/>
      <c r="E200" s="111"/>
      <c r="F200" s="1"/>
      <c r="G200" s="1"/>
      <c r="H200" s="1"/>
      <c r="I200" s="1"/>
      <c r="J200" s="154"/>
      <c r="K200" s="198"/>
      <c r="L200" s="149"/>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131"/>
      <c r="AT200" s="111"/>
      <c r="AU200" s="111"/>
      <c r="AV200" s="111"/>
    </row>
    <row r="201" spans="1:48" s="110" customFormat="1" ht="14.25" customHeight="1" x14ac:dyDescent="0.3">
      <c r="A201" s="138"/>
      <c r="B201" s="111"/>
      <c r="C201" s="111"/>
      <c r="D201" s="111"/>
      <c r="E201" s="111"/>
      <c r="F201" s="1"/>
      <c r="G201" s="1"/>
      <c r="H201" s="1"/>
      <c r="I201" s="293" t="str">
        <f>IF(calculations!AA183=2,"REC","")</f>
        <v/>
      </c>
      <c r="J201" s="154"/>
      <c r="K201" s="198"/>
      <c r="L201" s="149"/>
      <c r="M201" s="764" t="str">
        <f>IF(Rec!C165=1,Rec!D165,"")</f>
        <v/>
      </c>
      <c r="N201" s="765"/>
      <c r="O201" s="765"/>
      <c r="P201" s="765"/>
      <c r="Q201" s="765"/>
      <c r="R201" s="765"/>
      <c r="S201" s="765"/>
      <c r="T201" s="765"/>
      <c r="U201" s="765"/>
      <c r="V201" s="765"/>
      <c r="W201" s="765"/>
      <c r="X201" s="765"/>
      <c r="Y201" s="765"/>
      <c r="Z201" s="765"/>
      <c r="AA201" s="765"/>
      <c r="AB201" s="765"/>
      <c r="AC201" s="765"/>
      <c r="AD201" s="765"/>
      <c r="AE201" s="765"/>
      <c r="AF201" s="765"/>
      <c r="AG201" s="765"/>
      <c r="AH201" s="765"/>
      <c r="AI201" s="765"/>
      <c r="AJ201" s="765"/>
      <c r="AK201" s="765"/>
      <c r="AL201" s="765"/>
      <c r="AM201" s="765"/>
      <c r="AN201" s="765"/>
      <c r="AO201" s="765"/>
      <c r="AP201" s="765"/>
      <c r="AQ201" s="765"/>
      <c r="AR201" s="766"/>
      <c r="AS201" s="131"/>
      <c r="AT201" s="111"/>
      <c r="AU201" s="111"/>
      <c r="AV201" s="111"/>
    </row>
    <row r="202" spans="1:48" s="110" customFormat="1" ht="4.5" customHeight="1" x14ac:dyDescent="0.3">
      <c r="A202" s="138"/>
      <c r="B202" s="111"/>
      <c r="C202" s="111"/>
      <c r="D202" s="111"/>
      <c r="E202" s="121"/>
      <c r="K202" s="200"/>
      <c r="L202" s="129"/>
      <c r="M202" s="241"/>
      <c r="N202" s="241"/>
      <c r="O202" s="241"/>
      <c r="P202" s="241"/>
      <c r="Q202" s="241"/>
      <c r="R202" s="241"/>
      <c r="S202" s="241"/>
      <c r="T202" s="241"/>
      <c r="U202" s="241"/>
      <c r="V202" s="241"/>
      <c r="W202" s="241"/>
      <c r="X202" s="241"/>
      <c r="Y202" s="241"/>
      <c r="Z202" s="241"/>
      <c r="AA202" s="241"/>
      <c r="AB202" s="241"/>
      <c r="AC202" s="241"/>
      <c r="AD202" s="241"/>
      <c r="AE202" s="241"/>
      <c r="AF202" s="241"/>
      <c r="AG202" s="241"/>
      <c r="AH202" s="241"/>
      <c r="AI202" s="241"/>
      <c r="AJ202" s="241"/>
      <c r="AK202" s="241"/>
      <c r="AL202" s="241"/>
      <c r="AM202" s="241"/>
      <c r="AN202" s="241"/>
      <c r="AO202" s="241"/>
      <c r="AP202" s="241"/>
      <c r="AQ202" s="241"/>
      <c r="AR202" s="241"/>
      <c r="AS202" s="131"/>
      <c r="AT202" s="111"/>
      <c r="AU202" s="111"/>
      <c r="AV202" s="111"/>
    </row>
    <row r="203" spans="1:48" s="110" customFormat="1" ht="27" customHeight="1" x14ac:dyDescent="0.3">
      <c r="A203" s="138" t="s">
        <v>310</v>
      </c>
      <c r="B203" s="111"/>
      <c r="C203" s="111"/>
      <c r="D203" s="111"/>
      <c r="E203" s="111"/>
      <c r="F203" s="1"/>
      <c r="G203" s="1"/>
      <c r="H203" s="1"/>
      <c r="I203" s="1"/>
      <c r="J203" s="154"/>
      <c r="K203" s="198"/>
      <c r="L203" s="149"/>
      <c r="M203" s="814" t="str">
        <f>IF(calculations!Y150,"","Aquatic in-services are the equivalent of 1-hour weekly during the active season; some of that time may be self-directed in a resident camp.")</f>
        <v>Aquatic in-services are the equivalent of 1-hour weekly during the active season; some of that time may be self-directed in a resident camp.</v>
      </c>
      <c r="N203" s="814"/>
      <c r="O203" s="814"/>
      <c r="P203" s="814"/>
      <c r="Q203" s="814"/>
      <c r="R203" s="814"/>
      <c r="S203" s="814"/>
      <c r="T203" s="814"/>
      <c r="U203" s="814"/>
      <c r="V203" s="814"/>
      <c r="W203" s="814"/>
      <c r="X203" s="814"/>
      <c r="Y203" s="814"/>
      <c r="Z203" s="814"/>
      <c r="AA203" s="814"/>
      <c r="AB203" s="814"/>
      <c r="AC203" s="814"/>
      <c r="AD203" s="814"/>
      <c r="AE203" s="814"/>
      <c r="AF203" s="814"/>
      <c r="AG203" s="814"/>
      <c r="AH203" s="814"/>
      <c r="AI203" s="814"/>
      <c r="AJ203" s="814"/>
      <c r="AK203" s="814"/>
      <c r="AL203" s="814"/>
      <c r="AM203" s="814"/>
      <c r="AN203" s="814"/>
      <c r="AO203" s="814"/>
      <c r="AP203" s="814"/>
      <c r="AQ203" s="814"/>
      <c r="AR203" s="814"/>
      <c r="AS203" s="131"/>
      <c r="AT203" s="111"/>
      <c r="AU203" s="111"/>
      <c r="AV203" s="111"/>
    </row>
    <row r="204" spans="1:48" s="110" customFormat="1" ht="3.75" customHeight="1" x14ac:dyDescent="0.3">
      <c r="A204" s="138"/>
      <c r="B204" s="111"/>
      <c r="C204" s="111"/>
      <c r="D204" s="111"/>
      <c r="E204" s="111"/>
      <c r="F204" s="1"/>
      <c r="G204" s="1"/>
      <c r="H204" s="1"/>
      <c r="I204" s="1"/>
      <c r="J204" s="154"/>
      <c r="K204" s="198"/>
      <c r="L204" s="149"/>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131"/>
      <c r="AT204" s="111"/>
      <c r="AU204" s="111"/>
      <c r="AV204" s="111"/>
    </row>
    <row r="205" spans="1:48" s="110" customFormat="1" ht="27" customHeight="1" x14ac:dyDescent="0.3">
      <c r="A205" s="138"/>
      <c r="B205" s="111"/>
      <c r="C205" s="111"/>
      <c r="D205" s="111"/>
      <c r="E205" s="111"/>
      <c r="F205" s="1"/>
      <c r="G205" s="1"/>
      <c r="H205" s="1"/>
      <c r="I205" s="293" t="str">
        <f>IF(calculations!AA184=2,"REC","")</f>
        <v/>
      </c>
      <c r="J205" s="154"/>
      <c r="K205" s="198"/>
      <c r="L205" s="149"/>
      <c r="M205" s="764" t="str">
        <f>IF(Rec!C166=1,CONCATENATE("IF SIGNIFICANT:  ",Rec!D166),"")</f>
        <v/>
      </c>
      <c r="N205" s="765"/>
      <c r="O205" s="765"/>
      <c r="P205" s="765"/>
      <c r="Q205" s="765"/>
      <c r="R205" s="765"/>
      <c r="S205" s="765"/>
      <c r="T205" s="765"/>
      <c r="U205" s="765"/>
      <c r="V205" s="765"/>
      <c r="W205" s="765"/>
      <c r="X205" s="765"/>
      <c r="Y205" s="765"/>
      <c r="Z205" s="765"/>
      <c r="AA205" s="765"/>
      <c r="AB205" s="765"/>
      <c r="AC205" s="765"/>
      <c r="AD205" s="765"/>
      <c r="AE205" s="765"/>
      <c r="AF205" s="765"/>
      <c r="AG205" s="765"/>
      <c r="AH205" s="765"/>
      <c r="AI205" s="765"/>
      <c r="AJ205" s="765"/>
      <c r="AK205" s="765"/>
      <c r="AL205" s="765"/>
      <c r="AM205" s="765"/>
      <c r="AN205" s="765"/>
      <c r="AO205" s="765"/>
      <c r="AP205" s="765"/>
      <c r="AQ205" s="765"/>
      <c r="AR205" s="766"/>
      <c r="AS205" s="131"/>
      <c r="AT205" s="111"/>
      <c r="AU205" s="111"/>
      <c r="AV205" s="111"/>
    </row>
    <row r="206" spans="1:48" s="110" customFormat="1" ht="4.5" customHeight="1" x14ac:dyDescent="0.3">
      <c r="A206" s="138"/>
      <c r="B206" s="111"/>
      <c r="C206" s="111"/>
      <c r="D206" s="111"/>
      <c r="E206" s="121"/>
      <c r="K206" s="200"/>
      <c r="L206" s="129"/>
      <c r="M206" s="241"/>
      <c r="N206" s="241"/>
      <c r="O206" s="241"/>
      <c r="P206" s="241"/>
      <c r="Q206" s="241"/>
      <c r="R206" s="241"/>
      <c r="S206" s="241"/>
      <c r="T206" s="241"/>
      <c r="U206" s="241"/>
      <c r="V206" s="241"/>
      <c r="W206" s="241"/>
      <c r="X206" s="241"/>
      <c r="Y206" s="241"/>
      <c r="Z206" s="241"/>
      <c r="AA206" s="241"/>
      <c r="AB206" s="241"/>
      <c r="AC206" s="241"/>
      <c r="AD206" s="241"/>
      <c r="AE206" s="241"/>
      <c r="AF206" s="241"/>
      <c r="AG206" s="241"/>
      <c r="AH206" s="241"/>
      <c r="AI206" s="241"/>
      <c r="AJ206" s="241"/>
      <c r="AK206" s="241"/>
      <c r="AL206" s="241"/>
      <c r="AM206" s="241"/>
      <c r="AN206" s="241"/>
      <c r="AO206" s="241"/>
      <c r="AP206" s="241"/>
      <c r="AQ206" s="241"/>
      <c r="AR206" s="241"/>
      <c r="AS206" s="131"/>
      <c r="AT206" s="111"/>
      <c r="AU206" s="111"/>
      <c r="AV206" s="111"/>
    </row>
    <row r="207" spans="1:48" s="110" customFormat="1" ht="36.75" customHeight="1" x14ac:dyDescent="0.3">
      <c r="A207" s="138" t="s">
        <v>1046</v>
      </c>
      <c r="B207" s="111"/>
      <c r="C207" s="111"/>
      <c r="D207" s="111"/>
      <c r="E207" s="111"/>
      <c r="F207" s="1"/>
      <c r="G207" s="1"/>
      <c r="H207" s="1"/>
      <c r="I207" s="1"/>
      <c r="J207" s="154"/>
      <c r="K207" s="198"/>
      <c r="L207" s="149"/>
      <c r="M207" s="814" t="str">
        <f>IF(calculations!Y150,"","1) Aquatic Quick Checks (or equivalent) are routinely used to monitor lifeguard scanning performance. 
2) There is lifeguard accountability for individual performance.")</f>
        <v>1) Aquatic Quick Checks (or equivalent) are routinely used to monitor lifeguard scanning performance. 
2) There is lifeguard accountability for individual performance.</v>
      </c>
      <c r="N207" s="814"/>
      <c r="O207" s="814"/>
      <c r="P207" s="814"/>
      <c r="Q207" s="814"/>
      <c r="R207" s="814"/>
      <c r="S207" s="814"/>
      <c r="T207" s="814"/>
      <c r="U207" s="814"/>
      <c r="V207" s="814"/>
      <c r="W207" s="814"/>
      <c r="X207" s="814"/>
      <c r="Y207" s="814"/>
      <c r="Z207" s="814"/>
      <c r="AA207" s="814"/>
      <c r="AB207" s="814"/>
      <c r="AC207" s="814"/>
      <c r="AD207" s="814"/>
      <c r="AE207" s="814"/>
      <c r="AF207" s="814"/>
      <c r="AG207" s="814"/>
      <c r="AH207" s="814"/>
      <c r="AI207" s="814"/>
      <c r="AJ207" s="814"/>
      <c r="AK207" s="814"/>
      <c r="AL207" s="814"/>
      <c r="AM207" s="814"/>
      <c r="AN207" s="814"/>
      <c r="AO207" s="814"/>
      <c r="AP207" s="814"/>
      <c r="AQ207" s="814"/>
      <c r="AR207" s="814"/>
      <c r="AS207" s="131"/>
      <c r="AT207" s="111"/>
      <c r="AU207" s="111"/>
      <c r="AV207" s="111"/>
    </row>
    <row r="208" spans="1:48" s="110" customFormat="1" ht="4.5" customHeight="1" x14ac:dyDescent="0.3">
      <c r="A208" s="138"/>
      <c r="B208" s="111"/>
      <c r="C208" s="111"/>
      <c r="D208" s="111"/>
      <c r="E208" s="111"/>
      <c r="F208" s="1"/>
      <c r="G208" s="1"/>
      <c r="H208" s="1"/>
      <c r="I208" s="1"/>
      <c r="J208" s="154"/>
      <c r="K208" s="198"/>
      <c r="L208" s="149"/>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131"/>
      <c r="AT208" s="111"/>
      <c r="AU208" s="111"/>
      <c r="AV208" s="111"/>
    </row>
    <row r="209" spans="1:48" s="110" customFormat="1" ht="38.25" customHeight="1" x14ac:dyDescent="0.3">
      <c r="A209" s="138"/>
      <c r="B209" s="111"/>
      <c r="C209" s="111"/>
      <c r="D209" s="111"/>
      <c r="E209" s="111"/>
      <c r="F209" s="1"/>
      <c r="G209" s="1"/>
      <c r="H209" s="1"/>
      <c r="I209" s="293" t="str">
        <f>IF(calculations!AA185=2,"REC","")</f>
        <v/>
      </c>
      <c r="J209" s="154"/>
      <c r="K209" s="198"/>
      <c r="L209" s="149"/>
      <c r="M209" s="764" t="str">
        <f>IF(Rec!C167=1,Rec!D167,"")</f>
        <v/>
      </c>
      <c r="N209" s="765"/>
      <c r="O209" s="765"/>
      <c r="P209" s="765"/>
      <c r="Q209" s="765"/>
      <c r="R209" s="765"/>
      <c r="S209" s="765"/>
      <c r="T209" s="765"/>
      <c r="U209" s="765"/>
      <c r="V209" s="765"/>
      <c r="W209" s="765"/>
      <c r="X209" s="765"/>
      <c r="Y209" s="765"/>
      <c r="Z209" s="765"/>
      <c r="AA209" s="765"/>
      <c r="AB209" s="765"/>
      <c r="AC209" s="765"/>
      <c r="AD209" s="765"/>
      <c r="AE209" s="765"/>
      <c r="AF209" s="765"/>
      <c r="AG209" s="765"/>
      <c r="AH209" s="765"/>
      <c r="AI209" s="765"/>
      <c r="AJ209" s="765"/>
      <c r="AK209" s="765"/>
      <c r="AL209" s="765"/>
      <c r="AM209" s="765"/>
      <c r="AN209" s="765"/>
      <c r="AO209" s="765"/>
      <c r="AP209" s="765"/>
      <c r="AQ209" s="765"/>
      <c r="AR209" s="766"/>
      <c r="AS209" s="131"/>
      <c r="AT209" s="111"/>
      <c r="AU209" s="111"/>
      <c r="AV209" s="111"/>
    </row>
    <row r="210" spans="1:48" s="110" customFormat="1" ht="4.5" customHeight="1" x14ac:dyDescent="0.3">
      <c r="A210" s="136"/>
      <c r="B210" s="111"/>
      <c r="C210" s="111"/>
      <c r="D210" s="111"/>
      <c r="E210" s="111"/>
      <c r="J210" s="154"/>
      <c r="K210" s="198"/>
      <c r="L210" s="14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31"/>
      <c r="AT210" s="111"/>
      <c r="AU210" s="111"/>
      <c r="AV210" s="111"/>
    </row>
    <row r="211" spans="1:48" s="110" customFormat="1" ht="12.75" customHeight="1" x14ac:dyDescent="0.35">
      <c r="A211" s="135"/>
      <c r="B211" s="111"/>
      <c r="C211" s="111"/>
      <c r="D211" s="111"/>
      <c r="E211" s="139"/>
      <c r="F211" s="116" t="str">
        <f>IF(calculations!AA162,"","COMMENTS")</f>
        <v>COMMENTS</v>
      </c>
      <c r="J211" s="755"/>
      <c r="K211" s="756"/>
      <c r="L211" s="756"/>
      <c r="M211" s="756"/>
      <c r="N211" s="756"/>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7"/>
      <c r="AS211" s="131"/>
      <c r="AT211" s="111"/>
      <c r="AU211" s="111"/>
      <c r="AV211" s="111"/>
    </row>
    <row r="212" spans="1:48" s="110" customFormat="1" ht="12.75" customHeight="1" x14ac:dyDescent="0.3">
      <c r="A212" s="136"/>
      <c r="B212" s="111"/>
      <c r="C212" s="111"/>
      <c r="D212" s="111"/>
      <c r="E212" s="121"/>
      <c r="AS212" s="131"/>
      <c r="AT212" s="111"/>
      <c r="AU212" s="111"/>
      <c r="AV212" s="111"/>
    </row>
    <row r="213" spans="1:48" ht="25.3" x14ac:dyDescent="0.3">
      <c r="A213" s="817" t="s">
        <v>1364</v>
      </c>
      <c r="B213" s="817"/>
      <c r="C213" s="817"/>
      <c r="D213" s="817"/>
      <c r="E213" s="817"/>
      <c r="F213" s="817"/>
      <c r="G213" s="817"/>
      <c r="H213" s="817"/>
      <c r="I213" s="817"/>
      <c r="J213" s="817"/>
      <c r="K213" s="817"/>
      <c r="L213" s="817"/>
      <c r="M213" s="817"/>
      <c r="N213" s="817"/>
      <c r="O213" s="817"/>
      <c r="P213" s="817"/>
      <c r="Q213" s="817"/>
      <c r="R213" s="817"/>
      <c r="S213" s="817"/>
      <c r="T213" s="817"/>
      <c r="U213" s="817"/>
      <c r="V213" s="817"/>
      <c r="W213" s="817"/>
      <c r="X213" s="817"/>
      <c r="Y213" s="817"/>
      <c r="Z213" s="817"/>
      <c r="AA213" s="817"/>
      <c r="AB213" s="817"/>
      <c r="AC213" s="817"/>
      <c r="AD213" s="817"/>
      <c r="AE213" s="817"/>
      <c r="AF213" s="817"/>
      <c r="AG213" s="817"/>
      <c r="AH213" s="817"/>
      <c r="AI213" s="817"/>
      <c r="AJ213" s="817"/>
      <c r="AK213" s="817"/>
      <c r="AL213" s="817"/>
      <c r="AM213" s="817"/>
      <c r="AN213" s="817"/>
      <c r="AO213" s="817"/>
      <c r="AP213" s="817"/>
      <c r="AQ213" s="817"/>
      <c r="AR213" s="817"/>
      <c r="AS213" s="131"/>
    </row>
    <row r="214" spans="1:48" x14ac:dyDescent="0.3">
      <c r="A214" s="136"/>
      <c r="B214" s="111"/>
      <c r="C214" s="111"/>
      <c r="D214" s="111"/>
      <c r="E214" s="121"/>
      <c r="F214" s="111"/>
      <c r="G214" s="111"/>
      <c r="H214" s="111"/>
      <c r="I214" s="111"/>
      <c r="J214" s="111"/>
      <c r="K214" s="111"/>
      <c r="L214" s="111"/>
      <c r="M214" s="111"/>
      <c r="N214" s="111"/>
      <c r="O214" s="111"/>
      <c r="P214" s="111"/>
      <c r="Q214" s="111"/>
      <c r="R214" s="111"/>
      <c r="S214" s="111"/>
      <c r="T214" s="111"/>
      <c r="U214" s="111"/>
      <c r="V214" s="111"/>
      <c r="W214" s="111"/>
      <c r="X214" s="111"/>
      <c r="Y214" s="153"/>
      <c r="Z214" s="153"/>
      <c r="AA214" s="153"/>
      <c r="AB214" s="111"/>
      <c r="AC214" s="691" t="s">
        <v>693</v>
      </c>
      <c r="AD214" s="692"/>
      <c r="AE214" s="692"/>
      <c r="AF214" s="692"/>
      <c r="AG214" s="692"/>
      <c r="AH214" s="693"/>
      <c r="AI214" s="46"/>
      <c r="AJ214" s="691" t="s">
        <v>694</v>
      </c>
      <c r="AK214" s="692"/>
      <c r="AL214" s="692"/>
      <c r="AM214" s="692"/>
      <c r="AN214" s="692"/>
      <c r="AO214" s="692"/>
      <c r="AP214" s="692"/>
      <c r="AQ214" s="692"/>
      <c r="AR214" s="693"/>
      <c r="AS214" s="131"/>
    </row>
    <row r="215" spans="1:48" x14ac:dyDescent="0.3">
      <c r="A215" s="210"/>
      <c r="B215" s="111"/>
      <c r="C215" s="111"/>
      <c r="E215" s="121"/>
      <c r="F215" s="111"/>
      <c r="G215" s="111"/>
      <c r="H215" s="111"/>
      <c r="I215" s="111"/>
      <c r="J215" s="111"/>
      <c r="K215" s="111"/>
      <c r="L215" s="111"/>
      <c r="M215" s="111"/>
      <c r="N215" s="151">
        <f>calculations!A146</f>
        <v>0</v>
      </c>
      <c r="O215" s="111"/>
      <c r="P215" s="111"/>
      <c r="Q215" s="111"/>
      <c r="R215" s="110"/>
      <c r="S215" s="111"/>
      <c r="T215" s="110"/>
      <c r="U215" s="152"/>
      <c r="V215" s="111"/>
      <c r="W215" s="111"/>
      <c r="X215" s="111"/>
      <c r="Y215" s="111"/>
      <c r="Z215" s="111"/>
      <c r="AA215" s="111"/>
      <c r="AB215" s="111"/>
      <c r="AC215" s="111"/>
      <c r="AD215" s="111"/>
      <c r="AE215" s="111"/>
      <c r="AF215" s="111"/>
      <c r="AG215" s="111"/>
      <c r="AH215" s="111"/>
      <c r="AI215" s="111"/>
      <c r="AJ215" s="745" t="s">
        <v>695</v>
      </c>
      <c r="AK215" s="746"/>
      <c r="AL215" s="746"/>
      <c r="AM215" s="746"/>
      <c r="AN215" s="746"/>
      <c r="AO215" s="746"/>
      <c r="AP215" s="746"/>
      <c r="AQ215" s="746"/>
      <c r="AR215" s="747"/>
      <c r="AS215" s="131"/>
    </row>
    <row r="216" spans="1:48" ht="4.5" customHeight="1" x14ac:dyDescent="0.3">
      <c r="A216" s="136"/>
      <c r="B216" s="111"/>
      <c r="C216" s="111"/>
      <c r="D216" s="111"/>
      <c r="E216" s="121"/>
      <c r="F216" s="138"/>
      <c r="G216" s="111"/>
      <c r="H216" s="111"/>
      <c r="I216" s="111"/>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31"/>
    </row>
    <row r="217" spans="1:48" ht="14.25" customHeight="1" x14ac:dyDescent="0.35">
      <c r="A217" s="182" t="s">
        <v>866</v>
      </c>
      <c r="B217" s="111"/>
      <c r="C217" s="111"/>
      <c r="D217" s="288" t="s">
        <v>1657</v>
      </c>
      <c r="E217" s="348"/>
      <c r="F217" s="302"/>
      <c r="G217" s="300"/>
      <c r="H217" s="300"/>
      <c r="I217" s="300"/>
      <c r="J217" s="349"/>
      <c r="K217" s="349"/>
      <c r="L217" s="349"/>
      <c r="M217" s="126"/>
      <c r="N217" s="126"/>
      <c r="O217" s="126"/>
      <c r="P217" s="344" t="str">
        <f>IF(O49="select","",IF(calculations!AH186=1,"","COMPLETE DETAILS FOR GRADE"))</f>
        <v/>
      </c>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298" t="str">
        <f>calculations!U170</f>
        <v/>
      </c>
      <c r="AM217" s="126"/>
      <c r="AN217" s="126"/>
      <c r="AO217" s="126"/>
      <c r="AP217" s="126"/>
      <c r="AQ217" s="126"/>
      <c r="AR217" s="304"/>
      <c r="AS217" s="131"/>
    </row>
    <row r="218" spans="1:48" ht="4.5" customHeight="1" x14ac:dyDescent="0.3">
      <c r="A218" s="136"/>
      <c r="B218" s="111"/>
      <c r="C218" s="111"/>
      <c r="D218" s="111"/>
      <c r="E218" s="121"/>
      <c r="F218" s="138"/>
      <c r="G218" s="111"/>
      <c r="H218" s="111"/>
      <c r="I218" s="111"/>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31"/>
    </row>
    <row r="219" spans="1:48" ht="12.9" x14ac:dyDescent="0.3">
      <c r="A219" s="138" t="s">
        <v>49</v>
      </c>
      <c r="B219" s="111"/>
      <c r="C219" s="111"/>
      <c r="F219" s="299" t="s">
        <v>1856</v>
      </c>
      <c r="G219" s="138"/>
      <c r="H219" s="111"/>
      <c r="I219" s="111"/>
      <c r="J219" s="111"/>
      <c r="K219" s="126"/>
      <c r="L219" s="201" t="s">
        <v>898</v>
      </c>
      <c r="M219" s="110"/>
      <c r="N219" s="126"/>
      <c r="O219" s="126"/>
      <c r="P219" s="126"/>
      <c r="Q219" s="126"/>
      <c r="R219" s="126"/>
      <c r="S219" s="126"/>
      <c r="T219" s="126"/>
      <c r="U219" s="126"/>
      <c r="V219" s="126"/>
      <c r="W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31"/>
    </row>
    <row r="220" spans="1:48" x14ac:dyDescent="0.3">
      <c r="A220" s="109" t="s">
        <v>1658</v>
      </c>
      <c r="B220" s="111"/>
      <c r="C220" s="111"/>
      <c r="D220" s="111"/>
      <c r="E220" s="271" t="str">
        <f>IF(O49="yes","TYPE(S)","")</f>
        <v/>
      </c>
      <c r="F220" s="138"/>
      <c r="G220" s="111"/>
      <c r="H220" s="111"/>
      <c r="I220" s="202" t="str">
        <f>IF(O49="no","NONE","")</f>
        <v/>
      </c>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31"/>
    </row>
    <row r="221" spans="1:48" ht="12.75" customHeight="1" x14ac:dyDescent="0.3">
      <c r="A221" s="138"/>
      <c r="B221" s="111"/>
      <c r="C221" s="111"/>
      <c r="D221" s="111"/>
      <c r="E221" s="268"/>
      <c r="F221" s="138"/>
      <c r="G221" s="111"/>
      <c r="H221" s="111"/>
      <c r="I221" s="111"/>
      <c r="J221" s="199" t="str">
        <f>IF(calculations!AC187=2,"please select 'no' @ 1.3.3 or select a type above",IF(calculations!AC187=5,"",IF(calculations!AC187&gt;2,"please select 'yes' @ 1.3.3 or deselect the types(s) above","")))</f>
        <v/>
      </c>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31"/>
    </row>
    <row r="222" spans="1:48" ht="15.75" customHeight="1" x14ac:dyDescent="0.3">
      <c r="A222" s="138" t="s">
        <v>1659</v>
      </c>
      <c r="B222" s="111"/>
      <c r="C222" s="111"/>
      <c r="D222" s="111"/>
      <c r="F222" s="271" t="str">
        <f>IF(calculations!AB187,"DETAILS","")</f>
        <v/>
      </c>
      <c r="G222" s="111"/>
      <c r="H222" s="111"/>
      <c r="I222" s="111"/>
      <c r="J222" s="110"/>
      <c r="K222" s="168"/>
      <c r="L222" s="203"/>
      <c r="M222" s="755" t="str">
        <f>IF(calculations!AB187&gt;0,R50,"")</f>
        <v/>
      </c>
      <c r="N222" s="756"/>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7"/>
      <c r="AS222" s="131"/>
    </row>
    <row r="223" spans="1:48" ht="4.5" customHeight="1" x14ac:dyDescent="0.3">
      <c r="A223" s="138"/>
      <c r="B223" s="111"/>
      <c r="C223" s="111"/>
      <c r="D223" s="111"/>
      <c r="E223" s="140"/>
      <c r="F223" s="138"/>
      <c r="G223" s="111"/>
      <c r="H223" s="111"/>
      <c r="I223" s="111"/>
      <c r="J223" s="110"/>
      <c r="K223" s="126"/>
      <c r="L223" s="126"/>
      <c r="M223" s="248"/>
      <c r="N223" s="248"/>
      <c r="O223" s="248"/>
      <c r="P223" s="248"/>
      <c r="Q223" s="248"/>
      <c r="R223" s="248"/>
      <c r="S223" s="248"/>
      <c r="T223" s="248"/>
      <c r="U223" s="248"/>
      <c r="V223" s="248"/>
      <c r="W223" s="248"/>
      <c r="X223" s="248"/>
      <c r="Y223" s="248"/>
      <c r="Z223" s="248"/>
      <c r="AA223" s="248"/>
      <c r="AB223" s="248"/>
      <c r="AC223" s="248"/>
      <c r="AD223" s="248"/>
      <c r="AE223" s="248"/>
      <c r="AF223" s="248"/>
      <c r="AG223" s="248"/>
      <c r="AH223" s="248"/>
      <c r="AI223" s="248"/>
      <c r="AJ223" s="248"/>
      <c r="AK223" s="248"/>
      <c r="AL223" s="248"/>
      <c r="AM223" s="248"/>
      <c r="AN223" s="248"/>
      <c r="AO223" s="248"/>
      <c r="AP223" s="248"/>
      <c r="AQ223" s="248"/>
      <c r="AR223" s="248"/>
      <c r="AS223" s="131"/>
    </row>
    <row r="224" spans="1:48" ht="14.25" customHeight="1" x14ac:dyDescent="0.3">
      <c r="A224" s="138" t="s">
        <v>1660</v>
      </c>
      <c r="B224" s="111"/>
      <c r="C224" s="111"/>
      <c r="D224" s="111"/>
      <c r="F224" s="267" t="str">
        <f>IF(calculations!AB187,"STAFF","")</f>
        <v/>
      </c>
      <c r="G224" s="111"/>
      <c r="H224" s="111"/>
      <c r="I224" s="111"/>
      <c r="J224" s="110"/>
      <c r="K224" s="168"/>
      <c r="L224" s="203"/>
      <c r="M224" s="755" t="str">
        <f>IF(calculations!AB187&gt;0,"For each type of trip provide staff training, certification, ratios, etc.","")</f>
        <v/>
      </c>
      <c r="N224" s="756"/>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7"/>
      <c r="AS224" s="131"/>
    </row>
    <row r="225" spans="1:45" ht="9" customHeight="1" x14ac:dyDescent="0.3">
      <c r="A225" s="138"/>
      <c r="B225" s="111"/>
      <c r="C225" s="111"/>
      <c r="D225" s="111"/>
      <c r="F225" s="268"/>
      <c r="G225" s="111"/>
      <c r="H225" s="111"/>
      <c r="I225" s="111"/>
      <c r="J225" s="126"/>
      <c r="K225" s="200" t="s">
        <v>1020</v>
      </c>
      <c r="L225" s="126"/>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131"/>
    </row>
    <row r="226" spans="1:45" ht="12.75" customHeight="1" x14ac:dyDescent="0.3">
      <c r="A226" s="138" t="s">
        <v>1661</v>
      </c>
      <c r="B226" s="111"/>
      <c r="C226" s="111"/>
      <c r="D226" s="111"/>
      <c r="F226" s="245"/>
      <c r="G226" s="1"/>
      <c r="H226" s="1"/>
      <c r="I226" s="1"/>
      <c r="J226" s="154"/>
      <c r="K226" s="198"/>
      <c r="L226" s="149"/>
      <c r="M226" s="758" t="str">
        <f>IF(calculations!AC190&gt;0,forms!A210,"")</f>
        <v/>
      </c>
      <c r="N226" s="758"/>
      <c r="O226" s="758"/>
      <c r="P226" s="758"/>
      <c r="Q226" s="758"/>
      <c r="R226" s="758"/>
      <c r="S226" s="758"/>
      <c r="T226" s="758"/>
      <c r="U226" s="758"/>
      <c r="V226" s="758"/>
      <c r="W226" s="758"/>
      <c r="X226" s="758"/>
      <c r="Y226" s="758"/>
      <c r="Z226" s="758"/>
      <c r="AA226" s="758"/>
      <c r="AB226" s="758"/>
      <c r="AC226" s="758"/>
      <c r="AD226" s="758"/>
      <c r="AE226" s="758"/>
      <c r="AF226" s="758"/>
      <c r="AG226" s="758"/>
      <c r="AH226" s="758"/>
      <c r="AI226" s="758"/>
      <c r="AJ226" s="758"/>
      <c r="AK226" s="758"/>
      <c r="AL226" s="758"/>
      <c r="AM226" s="758"/>
      <c r="AN226" s="758"/>
      <c r="AO226" s="758"/>
      <c r="AP226" s="758"/>
      <c r="AQ226" s="758"/>
      <c r="AR226" s="758"/>
      <c r="AS226" s="131"/>
    </row>
    <row r="227" spans="1:45" ht="4.5" customHeight="1" x14ac:dyDescent="0.3">
      <c r="A227" s="138"/>
      <c r="B227" s="111"/>
      <c r="C227" s="111"/>
      <c r="D227" s="111"/>
      <c r="F227" s="268"/>
      <c r="G227" s="111"/>
      <c r="H227" s="111"/>
      <c r="I227" s="111"/>
      <c r="J227" s="126"/>
      <c r="K227" s="126"/>
      <c r="L227" s="126"/>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131"/>
    </row>
    <row r="228" spans="1:45" ht="13.5" customHeight="1" x14ac:dyDescent="0.3">
      <c r="A228" s="138" t="s">
        <v>1662</v>
      </c>
      <c r="B228" s="111"/>
      <c r="C228" s="111"/>
      <c r="D228" s="111"/>
      <c r="F228" s="267" t="str">
        <f>IF(calculations!AB187,"COMMUNICATION","")</f>
        <v/>
      </c>
      <c r="G228" s="111"/>
      <c r="H228" s="111"/>
      <c r="I228" s="111"/>
      <c r="J228" s="126"/>
      <c r="K228" s="126"/>
      <c r="L228" s="126"/>
      <c r="M228" s="755" t="str">
        <f>IF(calculations!AB187&gt;0,"For each type of trip provide communication protocol, equipment, frequency, potential problems, etc.","")</f>
        <v/>
      </c>
      <c r="N228" s="756"/>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7"/>
      <c r="AS228" s="131"/>
    </row>
    <row r="229" spans="1:45" ht="9" customHeight="1" x14ac:dyDescent="0.3">
      <c r="A229" s="138"/>
      <c r="B229" s="111"/>
      <c r="C229" s="111"/>
      <c r="D229" s="111"/>
      <c r="F229" s="268"/>
      <c r="G229" s="111"/>
      <c r="H229" s="111"/>
      <c r="I229" s="111"/>
      <c r="J229" s="126"/>
      <c r="K229" s="200"/>
      <c r="L229" s="126"/>
      <c r="M229" s="248"/>
      <c r="N229" s="248"/>
      <c r="O229" s="248"/>
      <c r="P229" s="248"/>
      <c r="Q229" s="248"/>
      <c r="R229" s="248"/>
      <c r="S229" s="248"/>
      <c r="T229" s="248"/>
      <c r="U229" s="248"/>
      <c r="V229" s="248"/>
      <c r="W229" s="248"/>
      <c r="X229" s="248"/>
      <c r="Y229" s="248"/>
      <c r="Z229" s="248"/>
      <c r="AA229" s="248"/>
      <c r="AB229" s="248"/>
      <c r="AC229" s="248"/>
      <c r="AD229" s="248"/>
      <c r="AE229" s="248"/>
      <c r="AF229" s="248"/>
      <c r="AG229" s="248"/>
      <c r="AH229" s="248"/>
      <c r="AI229" s="248"/>
      <c r="AJ229" s="248"/>
      <c r="AK229" s="248"/>
      <c r="AL229" s="248"/>
      <c r="AM229" s="248"/>
      <c r="AN229" s="248"/>
      <c r="AO229" s="248"/>
      <c r="AP229" s="248"/>
      <c r="AQ229" s="248"/>
      <c r="AR229" s="248"/>
      <c r="AS229" s="131"/>
    </row>
    <row r="230" spans="1:45" ht="26.25" customHeight="1" x14ac:dyDescent="0.3">
      <c r="A230" s="138" t="s">
        <v>1663</v>
      </c>
      <c r="B230" s="111"/>
      <c r="C230" s="111"/>
      <c r="D230" s="111"/>
      <c r="F230" s="245"/>
      <c r="G230" s="1"/>
      <c r="H230" s="1"/>
      <c r="I230" s="1"/>
      <c r="J230" s="154"/>
      <c r="K230" s="198"/>
      <c r="L230" s="149"/>
      <c r="M230" s="758" t="str">
        <f>IF(calculations!AB187,forms!A211,"")</f>
        <v/>
      </c>
      <c r="N230" s="758"/>
      <c r="O230" s="758"/>
      <c r="P230" s="758"/>
      <c r="Q230" s="758"/>
      <c r="R230" s="758"/>
      <c r="S230" s="758"/>
      <c r="T230" s="758"/>
      <c r="U230" s="758"/>
      <c r="V230" s="758"/>
      <c r="W230" s="758"/>
      <c r="X230" s="758"/>
      <c r="Y230" s="758"/>
      <c r="Z230" s="758"/>
      <c r="AA230" s="758"/>
      <c r="AB230" s="758"/>
      <c r="AC230" s="758"/>
      <c r="AD230" s="758"/>
      <c r="AE230" s="758"/>
      <c r="AF230" s="758"/>
      <c r="AG230" s="758"/>
      <c r="AH230" s="758"/>
      <c r="AI230" s="758"/>
      <c r="AJ230" s="758"/>
      <c r="AK230" s="758"/>
      <c r="AL230" s="758"/>
      <c r="AM230" s="758"/>
      <c r="AN230" s="758"/>
      <c r="AO230" s="758"/>
      <c r="AP230" s="758"/>
      <c r="AQ230" s="758"/>
      <c r="AR230" s="758"/>
      <c r="AS230" s="131"/>
    </row>
    <row r="231" spans="1:45" ht="5.25" customHeight="1" x14ac:dyDescent="0.3">
      <c r="A231" s="138"/>
      <c r="B231" s="111"/>
      <c r="C231" s="111"/>
      <c r="D231" s="111"/>
      <c r="F231" s="268"/>
      <c r="G231" s="111"/>
      <c r="H231" s="111"/>
      <c r="I231" s="111"/>
      <c r="J231" s="126"/>
      <c r="K231" s="126"/>
      <c r="L231" s="126"/>
      <c r="M231" s="248"/>
      <c r="N231" s="248"/>
      <c r="O231" s="248"/>
      <c r="P231" s="248"/>
      <c r="Q231" s="248"/>
      <c r="R231" s="248"/>
      <c r="S231" s="248"/>
      <c r="T231" s="248"/>
      <c r="U231" s="248"/>
      <c r="V231" s="248"/>
      <c r="W231" s="248"/>
      <c r="X231" s="248"/>
      <c r="Y231" s="248"/>
      <c r="Z231" s="248"/>
      <c r="AA231" s="248"/>
      <c r="AB231" s="248"/>
      <c r="AC231" s="248"/>
      <c r="AD231" s="248"/>
      <c r="AE231" s="248"/>
      <c r="AF231" s="248"/>
      <c r="AG231" s="248"/>
      <c r="AH231" s="248"/>
      <c r="AI231" s="248"/>
      <c r="AJ231" s="248"/>
      <c r="AK231" s="248"/>
      <c r="AL231" s="248"/>
      <c r="AM231" s="248"/>
      <c r="AN231" s="248"/>
      <c r="AO231" s="248"/>
      <c r="AP231" s="248"/>
      <c r="AQ231" s="248"/>
      <c r="AR231" s="248"/>
      <c r="AS231" s="131"/>
    </row>
    <row r="232" spans="1:45" ht="27" customHeight="1" x14ac:dyDescent="0.3">
      <c r="A232" s="138" t="s">
        <v>1664</v>
      </c>
      <c r="B232" s="111"/>
      <c r="C232" s="111"/>
      <c r="D232" s="111"/>
      <c r="F232" s="267" t="str">
        <f>IF(calculations!AB187,"TRANSPORTATION","")</f>
        <v/>
      </c>
      <c r="G232" s="111"/>
      <c r="H232" s="111"/>
      <c r="I232" s="111"/>
      <c r="J232" s="126"/>
      <c r="K232" s="126"/>
      <c r="L232" s="126"/>
      <c r="M232" s="755" t="str">
        <f>IF(calculations!AB187&gt;0,"For each type of trip provide vehicle type / ownership and driver qualifications; if by vendor, verify insurance requirements.","")</f>
        <v/>
      </c>
      <c r="N232" s="756"/>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7"/>
      <c r="AS232" s="131"/>
    </row>
    <row r="233" spans="1:45" ht="9" customHeight="1" x14ac:dyDescent="0.3">
      <c r="A233" s="138"/>
      <c r="B233" s="111"/>
      <c r="C233" s="111"/>
      <c r="D233" s="111"/>
      <c r="E233" s="121"/>
      <c r="F233" s="138"/>
      <c r="G233" s="111"/>
      <c r="H233" s="111"/>
      <c r="I233" s="111"/>
      <c r="J233" s="126"/>
      <c r="K233" s="200"/>
      <c r="L233" s="126"/>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131"/>
    </row>
    <row r="234" spans="1:45" x14ac:dyDescent="0.3">
      <c r="A234" s="138" t="s">
        <v>1665</v>
      </c>
      <c r="B234" s="111"/>
      <c r="C234" s="111"/>
      <c r="D234" s="111"/>
      <c r="E234" s="111"/>
      <c r="F234" s="1"/>
      <c r="G234" s="1"/>
      <c r="H234" s="1"/>
      <c r="I234" s="1"/>
      <c r="J234" s="154"/>
      <c r="K234" s="198"/>
      <c r="L234" s="149"/>
      <c r="M234" s="758" t="str">
        <f>IF(calculations!AB187,"15 passenger vans are not used for transporting campers.","")</f>
        <v/>
      </c>
      <c r="N234" s="758"/>
      <c r="O234" s="758"/>
      <c r="P234" s="758"/>
      <c r="Q234" s="758"/>
      <c r="R234" s="758"/>
      <c r="S234" s="758"/>
      <c r="T234" s="758"/>
      <c r="U234" s="758"/>
      <c r="V234" s="758"/>
      <c r="W234" s="758"/>
      <c r="X234" s="758"/>
      <c r="Y234" s="758"/>
      <c r="Z234" s="758"/>
      <c r="AA234" s="758"/>
      <c r="AB234" s="758"/>
      <c r="AC234" s="758"/>
      <c r="AD234" s="758"/>
      <c r="AE234" s="758"/>
      <c r="AF234" s="758"/>
      <c r="AG234" s="758"/>
      <c r="AH234" s="758"/>
      <c r="AI234" s="758"/>
      <c r="AJ234" s="758"/>
      <c r="AK234" s="758"/>
      <c r="AL234" s="758"/>
      <c r="AM234" s="758"/>
      <c r="AN234" s="758"/>
      <c r="AO234" s="758"/>
      <c r="AP234" s="758"/>
      <c r="AQ234" s="758"/>
      <c r="AR234" s="758"/>
      <c r="AS234" s="131"/>
    </row>
    <row r="235" spans="1:45" ht="4.5" customHeight="1" x14ac:dyDescent="0.3">
      <c r="A235" s="136"/>
      <c r="B235" s="111"/>
      <c r="C235" s="111"/>
      <c r="D235" s="111"/>
      <c r="E235" s="121"/>
      <c r="F235" s="138"/>
      <c r="G235" s="111"/>
      <c r="H235" s="111"/>
      <c r="I235" s="111"/>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31"/>
    </row>
    <row r="236" spans="1:45" ht="12.75" customHeight="1" x14ac:dyDescent="0.3">
      <c r="A236" s="136"/>
      <c r="B236" s="111"/>
      <c r="C236" s="111"/>
      <c r="D236" s="111"/>
      <c r="E236" s="121"/>
      <c r="F236" s="116" t="str">
        <f>IF(O49="YES","COMMENTS","")</f>
        <v/>
      </c>
      <c r="G236" s="110"/>
      <c r="H236" s="110"/>
      <c r="I236" s="110"/>
      <c r="J236" s="755"/>
      <c r="K236" s="756"/>
      <c r="L236" s="756"/>
      <c r="M236" s="756"/>
      <c r="N236" s="756"/>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7"/>
      <c r="AS236" s="131"/>
    </row>
    <row r="237" spans="1:45" ht="4.5" customHeight="1" x14ac:dyDescent="0.3">
      <c r="A237" s="136"/>
      <c r="B237" s="111"/>
      <c r="C237" s="111"/>
      <c r="D237" s="111"/>
      <c r="E237" s="121"/>
      <c r="F237" s="138"/>
      <c r="G237" s="111"/>
      <c r="H237" s="111"/>
      <c r="I237" s="111"/>
      <c r="J237" s="248"/>
      <c r="K237" s="248"/>
      <c r="L237" s="248"/>
      <c r="M237" s="248"/>
      <c r="N237" s="248"/>
      <c r="O237" s="248"/>
      <c r="P237" s="248"/>
      <c r="Q237" s="248"/>
      <c r="R237" s="248"/>
      <c r="S237" s="248"/>
      <c r="T237" s="248"/>
      <c r="U237" s="248"/>
      <c r="V237" s="248"/>
      <c r="W237" s="248"/>
      <c r="X237" s="248"/>
      <c r="Y237" s="248"/>
      <c r="Z237" s="248"/>
      <c r="AA237" s="248"/>
      <c r="AB237" s="248"/>
      <c r="AC237" s="248"/>
      <c r="AD237" s="248"/>
      <c r="AE237" s="248"/>
      <c r="AF237" s="248"/>
      <c r="AG237" s="248"/>
      <c r="AH237" s="248"/>
      <c r="AI237" s="248"/>
      <c r="AJ237" s="248"/>
      <c r="AK237" s="248"/>
      <c r="AL237" s="248"/>
      <c r="AM237" s="248"/>
      <c r="AN237" s="248"/>
      <c r="AO237" s="248"/>
      <c r="AP237" s="248"/>
      <c r="AQ237" s="248"/>
      <c r="AR237" s="248"/>
      <c r="AS237" s="131"/>
    </row>
    <row r="238" spans="1:45" ht="49.5" customHeight="1" x14ac:dyDescent="0.35">
      <c r="A238" s="135"/>
      <c r="B238" s="111"/>
      <c r="C238" s="111"/>
      <c r="D238" s="111"/>
      <c r="E238" s="139"/>
      <c r="F238" s="296" t="str">
        <f>IF(Rec!C170=1,"REC",IF(Rec!C170&gt;1,"RECS",""))</f>
        <v/>
      </c>
      <c r="I238" s="110"/>
      <c r="J238" s="755" t="str">
        <f>IF(calculations!AB194,"",Rec!E170)</f>
        <v/>
      </c>
      <c r="K238" s="756"/>
      <c r="L238" s="756"/>
      <c r="M238" s="756"/>
      <c r="N238" s="756"/>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7"/>
      <c r="AS238" s="131"/>
    </row>
    <row r="239" spans="1:45" x14ac:dyDescent="0.3">
      <c r="A239" s="136"/>
      <c r="B239" s="111"/>
      <c r="C239" s="111"/>
      <c r="D239" s="111"/>
      <c r="E239" s="121"/>
      <c r="F239" s="138"/>
      <c r="G239" s="111"/>
      <c r="H239" s="111"/>
      <c r="I239" s="111"/>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31"/>
    </row>
    <row r="240" spans="1:45" ht="12.9" x14ac:dyDescent="0.3">
      <c r="A240" s="182" t="s">
        <v>50</v>
      </c>
      <c r="B240" s="111"/>
      <c r="C240" s="111"/>
      <c r="E240" s="299" t="s">
        <v>897</v>
      </c>
      <c r="F240" s="138"/>
      <c r="G240" s="111"/>
      <c r="H240" s="111"/>
      <c r="I240" s="111"/>
      <c r="J240" s="126"/>
      <c r="K240" s="126"/>
      <c r="L240" s="126"/>
      <c r="M240" s="126"/>
      <c r="N240" s="126"/>
      <c r="O240" s="126"/>
      <c r="P240" s="126"/>
      <c r="Q240" s="126"/>
      <c r="S240" s="201" t="s">
        <v>896</v>
      </c>
      <c r="T240" s="110"/>
      <c r="U240" s="126"/>
      <c r="V240" s="126"/>
      <c r="W240" s="126"/>
      <c r="X240" s="126"/>
      <c r="Y240" s="126"/>
      <c r="Z240" s="126"/>
      <c r="AA240" s="126"/>
      <c r="AB240" s="126"/>
      <c r="AC240" s="126"/>
      <c r="AD240" s="126"/>
      <c r="AE240" s="126"/>
      <c r="AF240" s="126"/>
      <c r="AI240" s="126"/>
      <c r="AJ240" s="126"/>
      <c r="AK240" s="126"/>
      <c r="AL240" s="126"/>
      <c r="AM240" s="126"/>
      <c r="AN240" s="126"/>
      <c r="AO240" s="126"/>
      <c r="AP240" s="126"/>
      <c r="AQ240" s="126"/>
      <c r="AR240" s="126"/>
      <c r="AS240" s="131"/>
    </row>
    <row r="241" spans="1:45" ht="4.5" customHeight="1" x14ac:dyDescent="0.3">
      <c r="A241" s="138"/>
      <c r="B241" s="111"/>
      <c r="C241" s="111"/>
      <c r="D241" s="111"/>
      <c r="E241" s="121"/>
      <c r="F241" s="138"/>
      <c r="G241" s="111"/>
      <c r="H241" s="111"/>
      <c r="I241" s="111"/>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31"/>
    </row>
    <row r="242" spans="1:45" x14ac:dyDescent="0.3">
      <c r="A242" s="138" t="s">
        <v>1666</v>
      </c>
      <c r="B242" s="111"/>
      <c r="C242" s="111"/>
      <c r="D242" s="111"/>
      <c r="F242" s="267" t="s">
        <v>890</v>
      </c>
      <c r="G242" s="111"/>
      <c r="H242" s="111"/>
      <c r="I242" s="111"/>
      <c r="J242" s="126"/>
      <c r="K242" s="126"/>
      <c r="L242" s="126"/>
      <c r="M242" s="126"/>
      <c r="N242" s="126"/>
      <c r="O242" s="126"/>
      <c r="P242" s="126"/>
      <c r="Q242" s="126"/>
      <c r="R242" s="126"/>
      <c r="S242" s="126"/>
      <c r="T242" s="126"/>
      <c r="U242" s="295" t="s">
        <v>1597</v>
      </c>
      <c r="W242" s="126"/>
      <c r="X242" s="110"/>
      <c r="Z242" s="126"/>
      <c r="AA242" s="126"/>
      <c r="AB242" s="126"/>
      <c r="AC242" s="126"/>
      <c r="AD242" s="126"/>
      <c r="AE242" s="126"/>
      <c r="AF242" s="126"/>
      <c r="AG242" s="126"/>
      <c r="AH242" s="126"/>
      <c r="AI242" s="126"/>
      <c r="AJ242" s="126"/>
      <c r="AK242" s="126"/>
      <c r="AL242" s="126"/>
      <c r="AM242" s="126"/>
      <c r="AN242" s="126"/>
      <c r="AO242" s="126"/>
      <c r="AP242" s="126"/>
      <c r="AQ242" s="126"/>
      <c r="AR242" s="126"/>
      <c r="AS242" s="131"/>
    </row>
    <row r="243" spans="1:45" ht="12.75" customHeight="1" x14ac:dyDescent="0.3">
      <c r="A243" s="138"/>
      <c r="B243" s="111"/>
      <c r="C243" s="111"/>
      <c r="D243" s="111"/>
      <c r="F243" s="268"/>
      <c r="G243" s="111"/>
      <c r="H243" s="111"/>
      <c r="I243" s="111"/>
      <c r="J243" s="199" t="str">
        <f>IF(calculations!AD197&gt;1,"please choose NONE or one or more of the other selections above","")</f>
        <v/>
      </c>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31"/>
    </row>
    <row r="244" spans="1:45" x14ac:dyDescent="0.3">
      <c r="A244" s="186" t="s">
        <v>1667</v>
      </c>
      <c r="B244" s="111"/>
      <c r="C244" s="111"/>
      <c r="D244" s="111"/>
      <c r="F244" s="271" t="str">
        <f>IF(calculations!AC197=1,"DETAILS","")</f>
        <v/>
      </c>
      <c r="G244" s="111"/>
      <c r="H244" s="111"/>
      <c r="I244" s="111"/>
      <c r="J244" s="110"/>
      <c r="K244" s="168"/>
      <c r="L244" s="203"/>
      <c r="M244" s="755" t="str">
        <f>IF(calculations!AC197=1,"for each type of trip provide destinations, distances, and basic trip activities","")</f>
        <v/>
      </c>
      <c r="N244" s="756"/>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7"/>
      <c r="AS244" s="131"/>
    </row>
    <row r="245" spans="1:45" ht="4.5" customHeight="1" x14ac:dyDescent="0.3">
      <c r="A245" s="138"/>
      <c r="B245" s="111"/>
      <c r="C245" s="111"/>
      <c r="D245" s="111"/>
      <c r="F245" s="268"/>
      <c r="G245" s="111"/>
      <c r="H245" s="111"/>
      <c r="I245" s="111"/>
      <c r="J245" s="110"/>
      <c r="K245" s="126"/>
      <c r="L245" s="126"/>
      <c r="M245" s="248"/>
      <c r="N245" s="248"/>
      <c r="O245" s="248"/>
      <c r="P245" s="248"/>
      <c r="Q245" s="248"/>
      <c r="R245" s="248"/>
      <c r="S245" s="248"/>
      <c r="T245" s="248"/>
      <c r="U245" s="248"/>
      <c r="V245" s="248"/>
      <c r="W245" s="248"/>
      <c r="X245" s="248"/>
      <c r="Y245" s="248"/>
      <c r="Z245" s="248"/>
      <c r="AA245" s="248"/>
      <c r="AB245" s="248"/>
      <c r="AC245" s="248"/>
      <c r="AD245" s="248"/>
      <c r="AE245" s="248"/>
      <c r="AF245" s="248"/>
      <c r="AG245" s="248"/>
      <c r="AH245" s="248"/>
      <c r="AI245" s="248"/>
      <c r="AJ245" s="248"/>
      <c r="AK245" s="248"/>
      <c r="AL245" s="248"/>
      <c r="AM245" s="248"/>
      <c r="AN245" s="248"/>
      <c r="AO245" s="248"/>
      <c r="AP245" s="248"/>
      <c r="AQ245" s="248"/>
      <c r="AR245" s="248"/>
      <c r="AS245" s="131"/>
    </row>
    <row r="246" spans="1:45" x14ac:dyDescent="0.3">
      <c r="A246" s="138" t="s">
        <v>1668</v>
      </c>
      <c r="B246" s="111"/>
      <c r="C246" s="111"/>
      <c r="D246" s="111"/>
      <c r="F246" s="267" t="str">
        <f>IF(calculations!AC197=1,"STAFF","")</f>
        <v/>
      </c>
      <c r="G246" s="111"/>
      <c r="H246" s="111"/>
      <c r="I246" s="111"/>
      <c r="J246" s="110"/>
      <c r="K246" s="168"/>
      <c r="L246" s="203"/>
      <c r="M246" s="755" t="str">
        <f>IF(calculations!AC197=1,"for each type of trip provide staff training, certification, ratios","")</f>
        <v/>
      </c>
      <c r="N246" s="756"/>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7"/>
      <c r="AS246" s="131"/>
    </row>
    <row r="247" spans="1:45" ht="6" customHeight="1" x14ac:dyDescent="0.3">
      <c r="A247" s="138"/>
      <c r="B247" s="111"/>
      <c r="C247" s="111"/>
      <c r="D247" s="111"/>
      <c r="F247" s="268"/>
      <c r="G247" s="111"/>
      <c r="H247" s="111"/>
      <c r="I247" s="111"/>
      <c r="J247" s="110"/>
      <c r="K247" s="126"/>
      <c r="L247" s="126"/>
      <c r="M247" s="248"/>
      <c r="N247" s="248"/>
      <c r="O247" s="248"/>
      <c r="P247" s="248"/>
      <c r="Q247" s="248"/>
      <c r="R247" s="248"/>
      <c r="S247" s="248"/>
      <c r="T247" s="248"/>
      <c r="U247" s="248"/>
      <c r="V247" s="248"/>
      <c r="W247" s="248"/>
      <c r="X247" s="248"/>
      <c r="Y247" s="248"/>
      <c r="Z247" s="248"/>
      <c r="AA247" s="248"/>
      <c r="AB247" s="248"/>
      <c r="AC247" s="248"/>
      <c r="AD247" s="248"/>
      <c r="AE247" s="248"/>
      <c r="AF247" s="248"/>
      <c r="AG247" s="248"/>
      <c r="AH247" s="248"/>
      <c r="AI247" s="248"/>
      <c r="AJ247" s="248"/>
      <c r="AK247" s="248"/>
      <c r="AL247" s="248"/>
      <c r="AM247" s="248"/>
      <c r="AN247" s="248"/>
      <c r="AO247" s="248"/>
      <c r="AP247" s="248"/>
      <c r="AQ247" s="248"/>
      <c r="AR247" s="248"/>
      <c r="AS247" s="131"/>
    </row>
    <row r="248" spans="1:45" ht="14.25" customHeight="1" x14ac:dyDescent="0.3">
      <c r="A248" s="138" t="s">
        <v>1669</v>
      </c>
      <c r="B248" s="111"/>
      <c r="C248" s="111"/>
      <c r="D248" s="111"/>
      <c r="F248" s="267" t="str">
        <f>IF(calculations!AC197=1,"COMMUNICATION","")</f>
        <v/>
      </c>
      <c r="G248" s="111"/>
      <c r="H248" s="111"/>
      <c r="I248" s="111"/>
      <c r="J248" s="126"/>
      <c r="K248" s="126"/>
      <c r="L248" s="126"/>
      <c r="M248" s="755" t="str">
        <f>IF(calculations!AC197=1,"for each type of trip provide communication protocol, equipment, frequency, potential problems","")</f>
        <v/>
      </c>
      <c r="N248" s="756"/>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7"/>
      <c r="AS248" s="131"/>
    </row>
    <row r="249" spans="1:45" ht="4.5" customHeight="1" x14ac:dyDescent="0.3">
      <c r="A249" s="138"/>
      <c r="B249" s="111"/>
      <c r="C249" s="111"/>
      <c r="D249" s="111"/>
      <c r="F249" s="268"/>
      <c r="G249" s="111"/>
      <c r="H249" s="111"/>
      <c r="I249" s="111"/>
      <c r="J249" s="110"/>
      <c r="K249" s="126"/>
      <c r="L249" s="126"/>
      <c r="M249" s="248"/>
      <c r="N249" s="248"/>
      <c r="O249" s="248"/>
      <c r="P249" s="248"/>
      <c r="Q249" s="248"/>
      <c r="R249" s="248"/>
      <c r="S249" s="248"/>
      <c r="T249" s="248"/>
      <c r="U249" s="248"/>
      <c r="V249" s="248"/>
      <c r="W249" s="248"/>
      <c r="X249" s="248"/>
      <c r="Y249" s="248"/>
      <c r="Z249" s="248"/>
      <c r="AA249" s="248"/>
      <c r="AB249" s="248"/>
      <c r="AC249" s="248"/>
      <c r="AD249" s="248"/>
      <c r="AE249" s="248"/>
      <c r="AF249" s="248"/>
      <c r="AG249" s="248"/>
      <c r="AH249" s="248"/>
      <c r="AI249" s="248"/>
      <c r="AJ249" s="248"/>
      <c r="AK249" s="248"/>
      <c r="AL249" s="248"/>
      <c r="AM249" s="248"/>
      <c r="AN249" s="248"/>
      <c r="AO249" s="248"/>
      <c r="AP249" s="248"/>
      <c r="AQ249" s="248"/>
      <c r="AR249" s="248"/>
      <c r="AS249" s="131"/>
    </row>
    <row r="250" spans="1:45" ht="27.75" customHeight="1" x14ac:dyDescent="0.3">
      <c r="A250" s="138" t="s">
        <v>1670</v>
      </c>
      <c r="B250" s="111"/>
      <c r="C250" s="111"/>
      <c r="D250" s="111"/>
      <c r="F250" s="267" t="str">
        <f>IF(calculations!AC197=1,"TRANSPORTATION","")</f>
        <v/>
      </c>
      <c r="G250" s="111"/>
      <c r="H250" s="111"/>
      <c r="I250" s="111"/>
      <c r="J250" s="126"/>
      <c r="K250" s="126"/>
      <c r="L250" s="126"/>
      <c r="M250" s="755" t="str">
        <f>IF(calculations!AC197=1,"for each type of trip provide vehicle type / ownership and driver qualifications; if by vendor verify insurance requirements","")</f>
        <v/>
      </c>
      <c r="N250" s="756"/>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7"/>
      <c r="AS250" s="131"/>
    </row>
    <row r="251" spans="1:45" ht="9" customHeight="1" x14ac:dyDescent="0.3">
      <c r="A251" s="138"/>
      <c r="B251" s="111"/>
      <c r="C251" s="111"/>
      <c r="D251" s="111"/>
      <c r="E251" s="121"/>
      <c r="F251" s="138"/>
      <c r="G251" s="111"/>
      <c r="H251" s="111"/>
      <c r="I251" s="111"/>
      <c r="J251" s="126"/>
      <c r="K251" s="200" t="s">
        <v>1020</v>
      </c>
      <c r="L251" s="126"/>
      <c r="M251" s="248"/>
      <c r="N251" s="248"/>
      <c r="O251" s="248"/>
      <c r="P251" s="248"/>
      <c r="Q251" s="248"/>
      <c r="R251" s="248"/>
      <c r="S251" s="248"/>
      <c r="T251" s="248"/>
      <c r="U251" s="248"/>
      <c r="V251" s="248"/>
      <c r="W251" s="248"/>
      <c r="X251" s="248"/>
      <c r="Y251" s="248"/>
      <c r="Z251" s="248"/>
      <c r="AA251" s="248"/>
      <c r="AB251" s="248"/>
      <c r="AC251" s="248"/>
      <c r="AD251" s="248"/>
      <c r="AE251" s="248"/>
      <c r="AF251" s="248"/>
      <c r="AG251" s="248"/>
      <c r="AH251" s="248"/>
      <c r="AI251" s="248"/>
      <c r="AJ251" s="248"/>
      <c r="AK251" s="248"/>
      <c r="AL251" s="248"/>
      <c r="AM251" s="248"/>
      <c r="AN251" s="248"/>
      <c r="AO251" s="248"/>
      <c r="AP251" s="248"/>
      <c r="AQ251" s="248"/>
      <c r="AR251" s="248"/>
      <c r="AS251" s="131"/>
    </row>
    <row r="252" spans="1:45" x14ac:dyDescent="0.3">
      <c r="A252" s="138" t="s">
        <v>1671</v>
      </c>
      <c r="B252" s="111"/>
      <c r="C252" s="111"/>
      <c r="D252" s="111"/>
      <c r="E252" s="111"/>
      <c r="F252" s="1"/>
      <c r="G252" s="1"/>
      <c r="H252" s="1"/>
      <c r="I252" s="1"/>
      <c r="J252" s="154"/>
      <c r="K252" s="198"/>
      <c r="L252" s="149"/>
      <c r="M252" s="758" t="str">
        <f>IF(calculations!AC197=1,"15 passenger vans are not used for transporting campers","")</f>
        <v/>
      </c>
      <c r="N252" s="758"/>
      <c r="O252" s="758"/>
      <c r="P252" s="758"/>
      <c r="Q252" s="758"/>
      <c r="R252" s="758"/>
      <c r="S252" s="758"/>
      <c r="T252" s="758"/>
      <c r="U252" s="758"/>
      <c r="V252" s="758"/>
      <c r="W252" s="758"/>
      <c r="X252" s="758"/>
      <c r="Y252" s="758"/>
      <c r="Z252" s="758"/>
      <c r="AA252" s="758"/>
      <c r="AB252" s="758"/>
      <c r="AC252" s="758"/>
      <c r="AD252" s="758"/>
      <c r="AE252" s="758"/>
      <c r="AF252" s="758"/>
      <c r="AG252" s="758"/>
      <c r="AH252" s="758"/>
      <c r="AI252" s="758"/>
      <c r="AJ252" s="758"/>
      <c r="AK252" s="758"/>
      <c r="AL252" s="758"/>
      <c r="AM252" s="758"/>
      <c r="AN252" s="758"/>
      <c r="AO252" s="758"/>
      <c r="AP252" s="758"/>
      <c r="AQ252" s="758"/>
      <c r="AR252" s="758"/>
      <c r="AS252" s="131"/>
    </row>
    <row r="253" spans="1:45" ht="4.5" customHeight="1" x14ac:dyDescent="0.3">
      <c r="A253" s="136"/>
      <c r="B253" s="111"/>
      <c r="C253" s="111"/>
      <c r="D253" s="111"/>
      <c r="E253" s="121"/>
      <c r="F253" s="138"/>
      <c r="G253" s="111"/>
      <c r="H253" s="111"/>
      <c r="I253" s="111"/>
      <c r="J253" s="126"/>
      <c r="K253" s="126"/>
      <c r="L253" s="149"/>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31"/>
    </row>
    <row r="254" spans="1:45" ht="12.9" x14ac:dyDescent="0.35">
      <c r="A254" s="135"/>
      <c r="B254" s="111"/>
      <c r="C254" s="111"/>
      <c r="D254" s="111"/>
      <c r="E254" s="139"/>
      <c r="F254" s="116" t="str">
        <f>IF(calculations!AC197=1,"COMMENTS","")</f>
        <v/>
      </c>
      <c r="G254" s="110"/>
      <c r="H254" s="110"/>
      <c r="I254" s="110"/>
      <c r="J254" s="755"/>
      <c r="K254" s="756"/>
      <c r="L254" s="756"/>
      <c r="M254" s="756"/>
      <c r="N254" s="756"/>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7"/>
      <c r="AS254" s="131"/>
    </row>
    <row r="255" spans="1:45" ht="4.5" customHeight="1" x14ac:dyDescent="0.35">
      <c r="A255" s="135"/>
      <c r="B255" s="111"/>
      <c r="C255" s="111"/>
      <c r="D255" s="111"/>
      <c r="E255" s="139"/>
      <c r="F255" s="116"/>
      <c r="G255" s="110"/>
      <c r="H255" s="110"/>
      <c r="I255" s="110"/>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c r="AR255" s="248"/>
      <c r="AS255" s="131"/>
    </row>
    <row r="256" spans="1:45" ht="12.9" x14ac:dyDescent="0.35">
      <c r="A256" s="135"/>
      <c r="B256" s="111"/>
      <c r="C256" s="111"/>
      <c r="D256" s="111"/>
      <c r="E256" s="139"/>
      <c r="F256" s="296" t="str">
        <f>IF(J256&gt;"","REC","")</f>
        <v/>
      </c>
      <c r="G256" s="110"/>
      <c r="H256" s="110"/>
      <c r="I256" s="110"/>
      <c r="J256" s="755" t="str">
        <f>IF(Rec!C171=1,Rec!D171,"")</f>
        <v/>
      </c>
      <c r="K256" s="756"/>
      <c r="L256" s="756"/>
      <c r="M256" s="756"/>
      <c r="N256" s="756"/>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7"/>
      <c r="AS256" s="131"/>
    </row>
    <row r="258" spans="1:50" s="110" customFormat="1" ht="14.15" x14ac:dyDescent="0.3">
      <c r="A258" s="182" t="s">
        <v>867</v>
      </c>
      <c r="B258" s="111"/>
      <c r="C258" s="111"/>
      <c r="D258" s="137" t="s">
        <v>895</v>
      </c>
      <c r="E258" s="121"/>
      <c r="F258" s="138"/>
      <c r="G258" s="111"/>
      <c r="H258" s="111"/>
      <c r="I258" s="111"/>
      <c r="J258" s="126"/>
      <c r="K258" s="126"/>
      <c r="L258" s="126"/>
      <c r="M258" s="126"/>
      <c r="N258" s="126"/>
      <c r="P258" s="344" t="str">
        <f>IF(calculations!AG205=1,"","COMPLETE DETAILS FOR GRADE")</f>
        <v/>
      </c>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298" t="str">
        <f>calculations!U176</f>
        <v/>
      </c>
      <c r="AM258" s="126"/>
      <c r="AN258" s="126"/>
      <c r="AO258" s="126"/>
      <c r="AP258" s="126"/>
      <c r="AQ258" s="126"/>
      <c r="AR258" s="126"/>
      <c r="AS258" s="131"/>
      <c r="AT258" s="111"/>
      <c r="AU258" s="111"/>
      <c r="AV258" s="111"/>
    </row>
    <row r="259" spans="1:50" s="110" customFormat="1" x14ac:dyDescent="0.3">
      <c r="A259" s="182" t="s">
        <v>55</v>
      </c>
      <c r="B259" s="111"/>
      <c r="C259" s="111"/>
      <c r="D259" s="111"/>
      <c r="E259" s="267" t="s">
        <v>890</v>
      </c>
      <c r="F259" s="138"/>
      <c r="G259" s="111"/>
      <c r="H259" s="111"/>
      <c r="I259" s="111"/>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31"/>
      <c r="AT259" s="111"/>
    </row>
    <row r="260" spans="1:50" s="110" customFormat="1" ht="12.75" customHeight="1" x14ac:dyDescent="0.3">
      <c r="A260" s="182"/>
      <c r="B260" s="111"/>
      <c r="C260" s="111"/>
      <c r="D260" s="111"/>
      <c r="E260" s="241"/>
      <c r="F260" s="138"/>
      <c r="G260" s="111"/>
      <c r="H260" s="111"/>
      <c r="I260" s="111"/>
      <c r="J260" s="199" t="str">
        <f>IF(calculations!AD205&gt;1,"please choose NONE or one or more of the other selections above","")</f>
        <v/>
      </c>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31"/>
      <c r="AT260" s="111"/>
      <c r="AU260" s="111"/>
      <c r="AV260" s="111"/>
    </row>
    <row r="261" spans="1:50" s="110" customFormat="1" ht="25.5" customHeight="1" x14ac:dyDescent="0.3">
      <c r="A261" s="182" t="s">
        <v>56</v>
      </c>
      <c r="B261" s="111"/>
      <c r="C261" s="111"/>
      <c r="D261" s="111"/>
      <c r="E261" s="271" t="str">
        <f>IF(calculations!AC205&gt;0,"DETAILS","")</f>
        <v/>
      </c>
      <c r="G261" s="111"/>
      <c r="H261" s="111"/>
      <c r="I261" s="111"/>
      <c r="K261" s="168"/>
      <c r="L261" s="203"/>
      <c r="M261" s="755" t="str">
        <f>IF(calculations!AC205&gt;0,"Provide location, elements, maintenance, etc.; include transportation, if applicable, for natural rock climbing.","")</f>
        <v/>
      </c>
      <c r="N261" s="756"/>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7"/>
      <c r="AS261" s="131"/>
      <c r="AT261" s="111"/>
      <c r="AU261" s="111"/>
      <c r="AV261" s="111"/>
    </row>
    <row r="262" spans="1:50" s="110" customFormat="1" ht="4.5" customHeight="1" x14ac:dyDescent="0.3">
      <c r="A262" s="182"/>
      <c r="B262" s="111"/>
      <c r="C262" s="111"/>
      <c r="D262" s="111"/>
      <c r="E262" s="271"/>
      <c r="G262" s="111"/>
      <c r="H262" s="111"/>
      <c r="I262" s="111"/>
      <c r="K262" s="168"/>
      <c r="L262" s="168"/>
      <c r="M262" s="315"/>
      <c r="N262" s="315"/>
      <c r="O262" s="315"/>
      <c r="P262" s="315"/>
      <c r="Q262" s="315"/>
      <c r="R262" s="315"/>
      <c r="S262" s="315"/>
      <c r="T262" s="315"/>
      <c r="U262" s="315"/>
      <c r="V262" s="315"/>
      <c r="W262" s="315"/>
      <c r="X262" s="315"/>
      <c r="Y262" s="315"/>
      <c r="Z262" s="315"/>
      <c r="AA262" s="315"/>
      <c r="AB262" s="315"/>
      <c r="AC262" s="315"/>
      <c r="AD262" s="315"/>
      <c r="AE262" s="315"/>
      <c r="AF262" s="315"/>
      <c r="AG262" s="315"/>
      <c r="AH262" s="315"/>
      <c r="AI262" s="315"/>
      <c r="AJ262" s="315"/>
      <c r="AK262" s="315"/>
      <c r="AL262" s="315"/>
      <c r="AM262" s="315"/>
      <c r="AN262" s="315"/>
      <c r="AO262" s="315"/>
      <c r="AP262" s="315"/>
      <c r="AQ262" s="315"/>
      <c r="AR262" s="315"/>
      <c r="AS262" s="131"/>
      <c r="AT262" s="111"/>
      <c r="AU262" s="111"/>
      <c r="AV262" s="111"/>
    </row>
    <row r="263" spans="1:50" s="110" customFormat="1" ht="12" customHeight="1" x14ac:dyDescent="0.3">
      <c r="A263" s="182" t="s">
        <v>57</v>
      </c>
      <c r="B263" s="111"/>
      <c r="C263" s="111"/>
      <c r="D263" s="111"/>
      <c r="E263" s="321" t="str">
        <f>IF(calculations!AC205&gt;0,"ARE HELMETS ALWAYS WORN BY STAFF AND CAMPERS? ","")</f>
        <v/>
      </c>
      <c r="G263" s="111"/>
      <c r="H263" s="111"/>
      <c r="I263" s="111"/>
      <c r="K263" s="168"/>
      <c r="L263" s="168"/>
      <c r="M263" s="315"/>
      <c r="N263" s="315"/>
      <c r="O263" s="315"/>
      <c r="P263" s="315"/>
      <c r="Q263" s="315"/>
      <c r="R263" s="315"/>
      <c r="S263" s="315"/>
      <c r="T263" s="315"/>
      <c r="U263" s="315"/>
      <c r="V263" s="315"/>
      <c r="W263" s="315"/>
      <c r="X263" s="791" t="s">
        <v>678</v>
      </c>
      <c r="Y263" s="792"/>
      <c r="Z263" s="793"/>
      <c r="AA263" s="315"/>
      <c r="AB263" s="315"/>
      <c r="AC263" s="315"/>
      <c r="AD263" s="315"/>
      <c r="AE263" s="315"/>
      <c r="AF263" s="315"/>
      <c r="AG263" s="315"/>
      <c r="AH263" s="315"/>
      <c r="AI263" s="315"/>
      <c r="AJ263" s="315"/>
      <c r="AK263" s="315"/>
      <c r="AL263" s="315"/>
      <c r="AM263" s="315"/>
      <c r="AN263" s="315"/>
      <c r="AO263" s="315"/>
      <c r="AP263" s="315"/>
      <c r="AQ263" s="315"/>
      <c r="AR263" s="315"/>
      <c r="AS263" s="131"/>
      <c r="AT263" s="111"/>
      <c r="AU263" s="111"/>
      <c r="AV263" s="111"/>
    </row>
    <row r="264" spans="1:50" s="110" customFormat="1" ht="4.5" customHeight="1" x14ac:dyDescent="0.3">
      <c r="A264" s="182"/>
      <c r="B264" s="111"/>
      <c r="C264" s="111"/>
      <c r="D264" s="111"/>
      <c r="E264" s="273"/>
      <c r="G264" s="111"/>
      <c r="H264" s="111"/>
      <c r="I264" s="111"/>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200"/>
      <c r="AS264" s="131"/>
      <c r="AT264" s="138"/>
      <c r="AU264" s="111"/>
      <c r="AV264" s="111"/>
      <c r="AW264" s="111"/>
      <c r="AX264" s="126"/>
    </row>
    <row r="265" spans="1:50" s="110" customFormat="1" ht="12.75" customHeight="1" x14ac:dyDescent="0.3">
      <c r="A265" s="182" t="s">
        <v>58</v>
      </c>
      <c r="B265" s="111"/>
      <c r="C265" s="111"/>
      <c r="D265" s="111"/>
      <c r="E265" s="271" t="str">
        <f>IF(calculations!AC206&gt;0,"BUILT BY","")</f>
        <v/>
      </c>
      <c r="G265" s="111"/>
      <c r="H265" s="111"/>
      <c r="I265" s="111"/>
      <c r="J265" s="126"/>
      <c r="K265" s="126"/>
      <c r="L265" s="126"/>
      <c r="M265" s="791" t="s">
        <v>678</v>
      </c>
      <c r="N265" s="792"/>
      <c r="O265" s="792"/>
      <c r="P265" s="792"/>
      <c r="Q265" s="792"/>
      <c r="R265" s="792"/>
      <c r="S265" s="792"/>
      <c r="T265" s="792"/>
      <c r="U265" s="793"/>
      <c r="V265" s="315"/>
      <c r="X265" s="322"/>
      <c r="Y265" s="322"/>
      <c r="Z265" s="322"/>
      <c r="AA265" s="322"/>
      <c r="AB265" s="322"/>
      <c r="AC265" s="322"/>
      <c r="AD265" s="322"/>
      <c r="AE265" s="322"/>
      <c r="AF265" s="322"/>
      <c r="AG265" s="322"/>
      <c r="AH265" s="322"/>
      <c r="AI265" s="322"/>
      <c r="AJ265" s="322"/>
      <c r="AK265" s="322"/>
      <c r="AL265" s="322"/>
      <c r="AM265" s="322"/>
      <c r="AN265" s="323"/>
      <c r="AS265" s="205"/>
      <c r="AT265" s="1"/>
    </row>
    <row r="266" spans="1:50" s="110" customFormat="1" ht="4.5" customHeight="1" x14ac:dyDescent="0.3">
      <c r="A266" s="136"/>
      <c r="B266" s="111"/>
      <c r="C266" s="111"/>
      <c r="D266" s="111"/>
      <c r="E266" s="273"/>
      <c r="G266" s="111"/>
      <c r="H266" s="111"/>
      <c r="I266" s="111"/>
      <c r="J266" s="126"/>
      <c r="K266" s="126"/>
      <c r="L266" s="126"/>
      <c r="M266" s="315"/>
      <c r="N266" s="315"/>
      <c r="O266" s="315"/>
      <c r="P266" s="315"/>
      <c r="Q266" s="315"/>
      <c r="R266" s="315"/>
      <c r="S266" s="315"/>
      <c r="T266" s="315"/>
      <c r="U266" s="315"/>
      <c r="V266" s="315"/>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31"/>
      <c r="AT266" s="111"/>
      <c r="AU266" s="111"/>
      <c r="AV266" s="111"/>
    </row>
    <row r="267" spans="1:50" s="110" customFormat="1" ht="12.75" customHeight="1" x14ac:dyDescent="0.3">
      <c r="A267" s="182" t="s">
        <v>59</v>
      </c>
      <c r="B267" s="111"/>
      <c r="C267" s="111"/>
      <c r="D267" s="111"/>
      <c r="E267" s="271" t="str">
        <f>IF(calculations!AC206&gt;0,"INSPECTED BY","")</f>
        <v/>
      </c>
      <c r="G267" s="111"/>
      <c r="H267" s="111"/>
      <c r="I267" s="111"/>
      <c r="J267" s="126"/>
      <c r="K267" s="126"/>
      <c r="L267" s="126"/>
      <c r="M267" s="791" t="s">
        <v>678</v>
      </c>
      <c r="N267" s="792"/>
      <c r="O267" s="792"/>
      <c r="P267" s="792"/>
      <c r="Q267" s="792"/>
      <c r="R267" s="792"/>
      <c r="S267" s="792"/>
      <c r="T267" s="792"/>
      <c r="U267" s="793"/>
      <c r="V267" s="324">
        <f>IF(RIGHT(M267,11)="uncertified",1,IF(M267="not",1,0))</f>
        <v>0</v>
      </c>
      <c r="W267" s="138" t="str">
        <f>IF(calculations!AC206&gt;0,"LAST INSPECTION","")</f>
        <v/>
      </c>
      <c r="X267" s="126"/>
      <c r="Y267" s="126"/>
      <c r="Z267" s="126"/>
      <c r="AA267" s="126"/>
      <c r="AB267" s="126"/>
      <c r="AC267" s="289">
        <f>IF(calculations!AB206=1,0,IF(calculations!AC207=0,0,IF(#REF!-AD267&gt;365,1,0)))</f>
        <v>0</v>
      </c>
      <c r="AD267" s="869"/>
      <c r="AE267" s="870"/>
      <c r="AF267" s="870"/>
      <c r="AG267" s="871"/>
      <c r="AI267" s="138" t="str">
        <f>IF(calculations!AC206&gt;0,"RECS DONE?","")</f>
        <v/>
      </c>
      <c r="AJ267" s="126"/>
      <c r="AK267" s="126"/>
      <c r="AL267" s="126"/>
      <c r="AN267" s="791" t="s">
        <v>678</v>
      </c>
      <c r="AO267" s="792"/>
      <c r="AP267" s="792"/>
      <c r="AQ267" s="792"/>
      <c r="AR267" s="793"/>
      <c r="AT267" s="150"/>
      <c r="AU267" s="111"/>
      <c r="AV267" s="111"/>
    </row>
    <row r="268" spans="1:50" s="110" customFormat="1" ht="4.5" customHeight="1" x14ac:dyDescent="0.3">
      <c r="B268" s="111"/>
      <c r="C268" s="111"/>
      <c r="D268" s="111"/>
      <c r="E268" s="273"/>
      <c r="G268" s="111"/>
      <c r="H268" s="111"/>
      <c r="I268" s="111"/>
      <c r="J268" s="126"/>
      <c r="K268" s="126"/>
      <c r="L268" s="126"/>
      <c r="M268" s="325"/>
      <c r="N268" s="325"/>
      <c r="O268" s="325"/>
      <c r="P268" s="325"/>
      <c r="Q268" s="325"/>
      <c r="R268" s="325"/>
      <c r="S268" s="325"/>
      <c r="T268" s="325"/>
      <c r="U268" s="325"/>
      <c r="V268" s="315"/>
      <c r="W268" s="138"/>
      <c r="X268" s="126"/>
      <c r="Y268" s="126"/>
      <c r="Z268" s="126"/>
      <c r="AA268" s="126"/>
      <c r="AB268" s="126"/>
      <c r="AC268" s="326"/>
      <c r="AD268" s="326"/>
      <c r="AE268" s="326"/>
      <c r="AF268" s="326"/>
      <c r="AG268" s="126"/>
      <c r="AH268" s="138"/>
      <c r="AI268" s="126"/>
      <c r="AJ268" s="126"/>
      <c r="AK268" s="126"/>
      <c r="AL268" s="126"/>
      <c r="AM268" s="327"/>
      <c r="AN268" s="327"/>
      <c r="AO268" s="327"/>
      <c r="AP268" s="327"/>
      <c r="AQ268" s="327"/>
      <c r="AT268" s="111"/>
      <c r="AU268" s="111"/>
      <c r="AV268" s="111"/>
    </row>
    <row r="269" spans="1:50" s="110" customFormat="1" ht="80.25" customHeight="1" x14ac:dyDescent="0.3">
      <c r="A269" s="182" t="s">
        <v>357</v>
      </c>
      <c r="B269" s="111"/>
      <c r="C269" s="111"/>
      <c r="D269" s="111"/>
      <c r="E269" s="271" t="str">
        <f>IF(calculations!AC205&gt;0,"FACILITATORS","")</f>
        <v/>
      </c>
      <c r="G269" s="111"/>
      <c r="H269" s="111"/>
      <c r="I269" s="111"/>
      <c r="J269" s="126"/>
      <c r="K269" s="126"/>
      <c r="L269" s="126"/>
      <c r="M269" s="791" t="s">
        <v>678</v>
      </c>
      <c r="N269" s="792"/>
      <c r="O269" s="792"/>
      <c r="P269" s="792"/>
      <c r="Q269" s="792"/>
      <c r="R269" s="792"/>
      <c r="S269" s="792"/>
      <c r="T269" s="792"/>
      <c r="U269" s="792"/>
      <c r="V269" s="793"/>
      <c r="W269" s="324">
        <f>IF(RIGHT(M269,11)="uncertified",1,IF(RIGHT(N271,9)="untrained",1,0))</f>
        <v>0</v>
      </c>
      <c r="X269" s="271" t="str">
        <f>IF(calculations!AC205&gt;0,"CERTIFICATIONS","")</f>
        <v/>
      </c>
      <c r="AA269" s="126"/>
      <c r="AB269" s="126"/>
      <c r="AC269" s="326"/>
      <c r="AD269" s="326"/>
      <c r="AE269" s="795" t="str">
        <f>IF(calculations!AC205&gt;0,"Note if staff are certified under current ACCT Practitioner Certification Standards (Level 1, Level 2, CCM - Systems/Site Specific, Full, Spotted Only, or Belayed Only certs) or some other protocol","")</f>
        <v/>
      </c>
      <c r="AF269" s="796"/>
      <c r="AG269" s="796"/>
      <c r="AH269" s="796"/>
      <c r="AI269" s="796"/>
      <c r="AJ269" s="796"/>
      <c r="AK269" s="796"/>
      <c r="AL269" s="796"/>
      <c r="AM269" s="796"/>
      <c r="AN269" s="796"/>
      <c r="AO269" s="796"/>
      <c r="AP269" s="796"/>
      <c r="AQ269" s="796"/>
      <c r="AR269" s="797"/>
      <c r="AT269" s="111"/>
      <c r="AU269" s="111"/>
      <c r="AV269" s="111"/>
    </row>
    <row r="270" spans="1:50" s="110" customFormat="1" ht="4.5" customHeight="1" x14ac:dyDescent="0.3">
      <c r="A270" s="113"/>
      <c r="AT270" s="111"/>
      <c r="AU270" s="111"/>
      <c r="AV270" s="111"/>
    </row>
    <row r="271" spans="1:50" s="110" customFormat="1" ht="12.75" customHeight="1" x14ac:dyDescent="0.35">
      <c r="A271" s="135"/>
      <c r="B271" s="111"/>
      <c r="C271" s="111"/>
      <c r="D271" s="111"/>
      <c r="E271" s="139"/>
      <c r="F271" s="116" t="str">
        <f>IF(calculations!AC205=1,"COMMENTS","")</f>
        <v/>
      </c>
      <c r="J271" s="755"/>
      <c r="K271" s="756"/>
      <c r="L271" s="756"/>
      <c r="M271" s="756"/>
      <c r="N271" s="756"/>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7"/>
      <c r="AT271" s="111"/>
      <c r="AU271" s="111"/>
      <c r="AV271" s="111"/>
    </row>
    <row r="272" spans="1:50" s="110" customFormat="1" ht="4.5" customHeight="1" x14ac:dyDescent="0.3">
      <c r="A272" s="142"/>
      <c r="B272" s="111"/>
      <c r="C272" s="111"/>
      <c r="D272" s="111"/>
      <c r="F272" s="138"/>
      <c r="G272" s="111"/>
      <c r="H272" s="111"/>
      <c r="I272" s="111"/>
      <c r="J272" s="316"/>
      <c r="K272" s="316"/>
      <c r="L272" s="245"/>
      <c r="M272" s="315"/>
      <c r="N272" s="315"/>
      <c r="O272" s="315"/>
      <c r="P272" s="315"/>
      <c r="Q272" s="315"/>
      <c r="R272" s="315"/>
      <c r="S272" s="315"/>
      <c r="T272" s="315"/>
      <c r="U272" s="315"/>
      <c r="V272" s="315"/>
      <c r="W272" s="315"/>
      <c r="X272" s="315"/>
      <c r="Y272" s="315"/>
      <c r="Z272" s="315"/>
      <c r="AA272" s="315"/>
      <c r="AB272" s="315"/>
      <c r="AC272" s="315"/>
      <c r="AD272" s="315"/>
      <c r="AE272" s="315"/>
      <c r="AF272" s="315"/>
      <c r="AG272" s="315"/>
      <c r="AH272" s="315"/>
      <c r="AI272" s="315"/>
      <c r="AJ272" s="315"/>
      <c r="AK272" s="315"/>
      <c r="AL272" s="315"/>
      <c r="AM272" s="315"/>
      <c r="AN272" s="315"/>
      <c r="AO272" s="315"/>
      <c r="AP272" s="315"/>
      <c r="AQ272" s="315"/>
      <c r="AR272" s="315"/>
      <c r="AT272" s="111"/>
      <c r="AU272" s="111"/>
      <c r="AV272" s="111"/>
    </row>
    <row r="273" spans="1:48" ht="60.75" customHeight="1" x14ac:dyDescent="0.3">
      <c r="A273" s="209" t="s">
        <v>1672</v>
      </c>
      <c r="F273" s="296" t="str">
        <f>IF(Rec!C176=1,"REC",IF(Rec!C176&gt;1,"RECS",""))</f>
        <v/>
      </c>
      <c r="J273" s="755" t="str">
        <f>IF(Rec!C176&gt;0,Rec!E176,"")</f>
        <v/>
      </c>
      <c r="K273" s="756"/>
      <c r="L273" s="756"/>
      <c r="M273" s="756"/>
      <c r="N273" s="756"/>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7"/>
    </row>
    <row r="274" spans="1:48" s="110" customFormat="1" ht="12.75" customHeight="1" x14ac:dyDescent="0.3">
      <c r="A274" s="136"/>
      <c r="B274" s="111"/>
      <c r="C274" s="111"/>
      <c r="D274" s="111"/>
      <c r="E274" s="121"/>
      <c r="F274" s="138"/>
      <c r="G274" s="111"/>
      <c r="H274" s="111"/>
      <c r="I274" s="111"/>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R274" s="126"/>
      <c r="AS274" s="131"/>
      <c r="AT274" s="111"/>
      <c r="AU274" s="111"/>
      <c r="AV274" s="111"/>
    </row>
    <row r="275" spans="1:48" s="110" customFormat="1" ht="14.15" x14ac:dyDescent="0.3">
      <c r="A275" s="209" t="s">
        <v>868</v>
      </c>
      <c r="B275" s="111"/>
      <c r="C275" s="111"/>
      <c r="D275" s="345" t="s">
        <v>893</v>
      </c>
      <c r="E275" s="121"/>
      <c r="F275" s="138"/>
      <c r="G275" s="111"/>
      <c r="H275" s="111"/>
      <c r="I275" s="111"/>
      <c r="K275" s="193" t="str">
        <f>IF(calculations!AB214&lt;2,"",IF(calculations!AH214=1,"RISK MANAGER'S OPINION ",""))</f>
        <v/>
      </c>
      <c r="L275" s="126"/>
      <c r="M275" s="126"/>
      <c r="V275" s="806" t="s">
        <v>1702</v>
      </c>
      <c r="W275" s="807"/>
      <c r="X275" s="807"/>
      <c r="Y275" s="807"/>
      <c r="Z275" s="807"/>
      <c r="AA275" s="807"/>
      <c r="AB275" s="808"/>
      <c r="AD275" s="126"/>
      <c r="AE275" s="126"/>
      <c r="AF275" s="126"/>
      <c r="AG275" s="126"/>
      <c r="AH275" s="126"/>
      <c r="AI275" s="126"/>
      <c r="AJ275" s="126"/>
      <c r="AL275" s="298" t="str">
        <f>calculations!U183</f>
        <v/>
      </c>
      <c r="AM275" s="303"/>
      <c r="AN275" s="303"/>
      <c r="AO275" s="303"/>
      <c r="AP275" s="303"/>
      <c r="AQ275" s="303"/>
      <c r="AR275" s="303"/>
      <c r="AS275" s="131"/>
      <c r="AT275" s="111"/>
      <c r="AU275" s="111"/>
      <c r="AV275" s="111"/>
    </row>
    <row r="276" spans="1:48" s="110" customFormat="1" ht="15.75" customHeight="1" x14ac:dyDescent="0.3">
      <c r="A276" s="210"/>
      <c r="B276" s="111"/>
      <c r="C276" s="111"/>
      <c r="D276" s="111"/>
      <c r="E276" s="121"/>
      <c r="I276" s="111"/>
      <c r="J276" s="126"/>
      <c r="K276" s="126"/>
      <c r="L276" s="126"/>
      <c r="M276" s="126"/>
      <c r="N276" s="126"/>
      <c r="P276" s="344" t="str">
        <f>IF(calculations!AH214=1,"","COMPLETE DETAILS FOR GRADE")</f>
        <v/>
      </c>
      <c r="Q276" s="126"/>
      <c r="R276" s="126"/>
      <c r="S276" s="126"/>
      <c r="T276" s="126"/>
      <c r="U276" s="126"/>
      <c r="V276" s="126"/>
      <c r="W276" s="126"/>
      <c r="X276" s="126"/>
      <c r="Y276" s="126"/>
      <c r="Z276" s="126"/>
      <c r="AA276" s="126"/>
      <c r="AB276" s="126"/>
      <c r="AE276" s="126"/>
      <c r="AG276" s="126"/>
      <c r="AH276" s="126"/>
      <c r="AI276" s="126"/>
      <c r="AJ276" s="126"/>
      <c r="AK276" s="126"/>
      <c r="AL276" s="126"/>
      <c r="AM276" s="126"/>
      <c r="AN276" s="126"/>
      <c r="AO276" s="126"/>
      <c r="AP276" s="126"/>
      <c r="AQ276" s="126"/>
      <c r="AR276" s="126"/>
      <c r="AS276" s="131"/>
      <c r="AT276" s="111"/>
      <c r="AU276" s="111"/>
      <c r="AV276" s="111"/>
    </row>
    <row r="277" spans="1:48" s="110" customFormat="1" ht="12.75" customHeight="1" x14ac:dyDescent="0.3">
      <c r="A277" s="209" t="s">
        <v>61</v>
      </c>
      <c r="B277" s="111"/>
      <c r="C277" s="111"/>
      <c r="D277" s="111"/>
      <c r="E277" s="267" t="s">
        <v>890</v>
      </c>
      <c r="F277" s="138"/>
      <c r="G277" s="111"/>
      <c r="H277" s="111"/>
      <c r="I277" s="111"/>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31"/>
      <c r="AT277" s="111"/>
      <c r="AU277" s="111"/>
      <c r="AV277" s="111"/>
    </row>
    <row r="278" spans="1:48" s="110" customFormat="1" ht="14.25" customHeight="1" x14ac:dyDescent="0.3">
      <c r="A278" s="209"/>
      <c r="B278" s="111"/>
      <c r="C278" s="111"/>
      <c r="D278" s="111"/>
      <c r="E278" s="268"/>
      <c r="F278" s="138"/>
      <c r="G278" s="111"/>
      <c r="H278" s="111"/>
      <c r="I278" s="111"/>
      <c r="J278" s="199" t="str">
        <f>IF(calculations!AD214&gt;1,"please choose NONE or one or more of the other selections above","")</f>
        <v/>
      </c>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31"/>
      <c r="AT278" s="111"/>
      <c r="AU278" s="111"/>
      <c r="AV278" s="111"/>
    </row>
    <row r="279" spans="1:48" s="110" customFormat="1" ht="36" customHeight="1" x14ac:dyDescent="0.3">
      <c r="A279" s="209" t="s">
        <v>62</v>
      </c>
      <c r="B279" s="111"/>
      <c r="C279" s="111"/>
      <c r="D279" s="111"/>
      <c r="E279" s="271" t="str">
        <f>IF(calculations!AC214&gt;0,"DETAILS","")</f>
        <v/>
      </c>
      <c r="G279" s="111"/>
      <c r="H279" s="111"/>
      <c r="I279" s="111"/>
      <c r="K279" s="168"/>
      <c r="L279" s="203"/>
      <c r="M279" s="755" t="str">
        <f>IF(calculations!AC214&gt;0,"Describe markers, how marker velocity is monitored, if participant markers are allowed, separation from other activities; PLEASE ENTER RECOMMENDATIONS TO CORRECT ANY DEVIATIONS FROM ACCEPTED PRACTICES IN THE BOX BELOWT LINE 3.3.7.","")</f>
        <v/>
      </c>
      <c r="N279" s="756"/>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7"/>
      <c r="AS279" s="131"/>
      <c r="AT279" s="111"/>
      <c r="AU279" s="111"/>
      <c r="AV279" s="111"/>
    </row>
    <row r="280" spans="1:48" s="110" customFormat="1" ht="4.5" customHeight="1" x14ac:dyDescent="0.3">
      <c r="A280" s="209"/>
      <c r="B280" s="111"/>
      <c r="C280" s="111"/>
      <c r="D280" s="111"/>
      <c r="E280" s="268"/>
      <c r="F280" s="138"/>
      <c r="G280" s="111"/>
      <c r="H280" s="111"/>
      <c r="I280" s="111"/>
      <c r="J280" s="126"/>
      <c r="K280" s="126"/>
      <c r="L280" s="126"/>
      <c r="M280" s="315"/>
      <c r="N280" s="315"/>
      <c r="O280" s="315"/>
      <c r="P280" s="315"/>
      <c r="Q280" s="315"/>
      <c r="R280" s="315"/>
      <c r="S280" s="315"/>
      <c r="T280" s="315"/>
      <c r="U280" s="315"/>
      <c r="V280" s="315"/>
      <c r="W280" s="315"/>
      <c r="X280" s="315"/>
      <c r="Y280" s="315"/>
      <c r="Z280" s="315"/>
      <c r="AA280" s="315"/>
      <c r="AB280" s="315"/>
      <c r="AC280" s="315"/>
      <c r="AD280" s="315"/>
      <c r="AE280" s="315"/>
      <c r="AF280" s="315"/>
      <c r="AG280" s="315"/>
      <c r="AH280" s="315"/>
      <c r="AI280" s="315"/>
      <c r="AJ280" s="315"/>
      <c r="AK280" s="315"/>
      <c r="AL280" s="315"/>
      <c r="AM280" s="315"/>
      <c r="AN280" s="315"/>
      <c r="AO280" s="315"/>
      <c r="AP280" s="315"/>
      <c r="AQ280" s="315"/>
      <c r="AR280" s="315"/>
      <c r="AS280" s="131"/>
      <c r="AT280" s="111"/>
      <c r="AU280" s="111"/>
      <c r="AV280" s="111"/>
    </row>
    <row r="281" spans="1:48" s="110" customFormat="1" ht="35.25" customHeight="1" x14ac:dyDescent="0.3">
      <c r="A281" s="209" t="s">
        <v>63</v>
      </c>
      <c r="B281" s="111"/>
      <c r="C281" s="111"/>
      <c r="D281" s="111"/>
      <c r="E281" s="271" t="str">
        <f>IF(calculations!AC214&gt;0,"SUPERVISION","")</f>
        <v/>
      </c>
      <c r="G281" s="111"/>
      <c r="H281" s="111"/>
      <c r="I281" s="111"/>
      <c r="J281" s="126"/>
      <c r="K281" s="126"/>
      <c r="L281" s="126"/>
      <c r="M281" s="755" t="str">
        <f>IF(calculations!AC214&gt;0,"Provide staff-to-participant ratio, briefly describe rules (specify if posted), referees, staff training, etc.; PLEASE ENTER RECOMMENDATIONS TO CORRECT ANY DEVIATIONS FROM ACCEPTED PRACTICES IN THE BOX BELOW LINE 3.3.7.","")</f>
        <v/>
      </c>
      <c r="N281" s="756"/>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7"/>
      <c r="AS281" s="131"/>
      <c r="AT281" s="111"/>
      <c r="AU281" s="111"/>
      <c r="AV281" s="111"/>
    </row>
    <row r="282" spans="1:48" s="110" customFormat="1" ht="4.5" customHeight="1" x14ac:dyDescent="0.3">
      <c r="A282" s="209"/>
      <c r="B282" s="111"/>
      <c r="C282" s="111"/>
      <c r="D282" s="111"/>
      <c r="E282" s="273"/>
      <c r="G282" s="111"/>
      <c r="H282" s="111"/>
      <c r="I282" s="111"/>
      <c r="J282" s="126"/>
      <c r="K282" s="126"/>
      <c r="L282" s="126"/>
      <c r="M282" s="315"/>
      <c r="N282" s="315"/>
      <c r="O282" s="315"/>
      <c r="P282" s="315"/>
      <c r="Q282" s="315"/>
      <c r="R282" s="315"/>
      <c r="S282" s="315"/>
      <c r="T282" s="315"/>
      <c r="U282" s="315"/>
      <c r="V282" s="315"/>
      <c r="W282" s="315"/>
      <c r="X282" s="315"/>
      <c r="Y282" s="315"/>
      <c r="Z282" s="315"/>
      <c r="AA282" s="315"/>
      <c r="AB282" s="315"/>
      <c r="AC282" s="315"/>
      <c r="AD282" s="315"/>
      <c r="AE282" s="315"/>
      <c r="AF282" s="315"/>
      <c r="AG282" s="315"/>
      <c r="AH282" s="315"/>
      <c r="AI282" s="315"/>
      <c r="AJ282" s="315"/>
      <c r="AK282" s="315"/>
      <c r="AL282" s="315"/>
      <c r="AM282" s="315"/>
      <c r="AN282" s="315"/>
      <c r="AO282" s="315"/>
      <c r="AP282" s="315"/>
      <c r="AQ282" s="315"/>
      <c r="AR282" s="315"/>
      <c r="AS282" s="131"/>
      <c r="AT282" s="111"/>
      <c r="AU282" s="111"/>
      <c r="AV282" s="111"/>
    </row>
    <row r="283" spans="1:48" s="110" customFormat="1" ht="37.5" customHeight="1" x14ac:dyDescent="0.3">
      <c r="A283" s="209" t="s">
        <v>64</v>
      </c>
      <c r="B283" s="111"/>
      <c r="C283" s="111"/>
      <c r="D283" s="111"/>
      <c r="E283" s="271" t="str">
        <f>IF(calculations!AC214&gt;0,"PROTECTION","")</f>
        <v/>
      </c>
      <c r="G283" s="111"/>
      <c r="H283" s="111"/>
      <c r="I283" s="111"/>
      <c r="J283" s="126"/>
      <c r="K283" s="126"/>
      <c r="L283" s="126"/>
      <c r="M283" s="755" t="str">
        <f>IF(calculations!AC214&gt;0,"Describe mandatory protective equipment; describe how they prevent accidental access to the course while it is in use; PLEASE ENTER RECOMMENDATIONS TO CORRECT ANY DEVIATIONS FROM ACCEPTED PRACTICES IN THE BOX BELOW LINE 3.3.7.","")</f>
        <v/>
      </c>
      <c r="N283" s="756"/>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7"/>
      <c r="AS283" s="131"/>
    </row>
    <row r="284" spans="1:48" s="110" customFormat="1" ht="4.5" customHeight="1" x14ac:dyDescent="0.3">
      <c r="A284" s="209"/>
      <c r="B284" s="111"/>
      <c r="C284" s="111"/>
      <c r="D284" s="111"/>
      <c r="E284" s="268"/>
      <c r="F284" s="138"/>
      <c r="G284" s="111"/>
      <c r="H284" s="111"/>
      <c r="I284" s="111"/>
      <c r="J284" s="126"/>
      <c r="K284" s="126"/>
      <c r="L284" s="126"/>
      <c r="M284" s="315"/>
      <c r="N284" s="315"/>
      <c r="O284" s="315"/>
      <c r="P284" s="315"/>
      <c r="Q284" s="315"/>
      <c r="R284" s="315"/>
      <c r="S284" s="315"/>
      <c r="T284" s="315"/>
      <c r="U284" s="315"/>
      <c r="V284" s="315"/>
      <c r="W284" s="315"/>
      <c r="X284" s="315"/>
      <c r="Y284" s="315"/>
      <c r="Z284" s="315"/>
      <c r="AA284" s="315"/>
      <c r="AB284" s="315"/>
      <c r="AC284" s="315"/>
      <c r="AD284" s="315"/>
      <c r="AE284" s="315"/>
      <c r="AF284" s="315"/>
      <c r="AG284" s="315"/>
      <c r="AH284" s="315"/>
      <c r="AI284" s="315"/>
      <c r="AJ284" s="315"/>
      <c r="AK284" s="315"/>
      <c r="AL284" s="315"/>
      <c r="AM284" s="315"/>
      <c r="AN284" s="315"/>
      <c r="AO284" s="315"/>
      <c r="AP284" s="315"/>
      <c r="AQ284" s="315"/>
      <c r="AR284" s="315"/>
      <c r="AS284" s="131"/>
      <c r="AT284" s="111"/>
      <c r="AU284" s="111"/>
      <c r="AV284" s="111"/>
    </row>
    <row r="285" spans="1:48" s="110" customFormat="1" ht="37.5" customHeight="1" x14ac:dyDescent="0.3">
      <c r="A285" s="209" t="s">
        <v>65</v>
      </c>
      <c r="B285" s="111"/>
      <c r="C285" s="111"/>
      <c r="D285" s="111"/>
      <c r="E285" s="267" t="str">
        <f>IF(calculations!AC214=1,"SPECIFIC WAIVER","")</f>
        <v/>
      </c>
      <c r="F285" s="138"/>
      <c r="G285" s="111"/>
      <c r="H285" s="111"/>
      <c r="I285" s="111"/>
      <c r="J285" s="126"/>
      <c r="K285" s="126"/>
      <c r="L285" s="126"/>
      <c r="M285" s="758" t="str">
        <f>IF(calculations!AC214&gt;0,"Is there a specific waiver that informs the participant of the hazards and requires him/her to indemnity and hold the YMCA harmless? If the participant is under 18 are both parents required to sign?","")</f>
        <v/>
      </c>
      <c r="N285" s="758"/>
      <c r="O285" s="758"/>
      <c r="P285" s="758"/>
      <c r="Q285" s="758"/>
      <c r="R285" s="758"/>
      <c r="S285" s="758"/>
      <c r="T285" s="758"/>
      <c r="U285" s="758"/>
      <c r="V285" s="758"/>
      <c r="W285" s="758"/>
      <c r="X285" s="758"/>
      <c r="Y285" s="758"/>
      <c r="Z285" s="758"/>
      <c r="AA285" s="758"/>
      <c r="AB285" s="758"/>
      <c r="AC285" s="758"/>
      <c r="AD285" s="758"/>
      <c r="AE285" s="758"/>
      <c r="AF285" s="758"/>
      <c r="AG285" s="758"/>
      <c r="AH285" s="758"/>
      <c r="AI285" s="758"/>
      <c r="AJ285" s="758"/>
      <c r="AK285" s="758"/>
      <c r="AL285" s="758"/>
      <c r="AM285" s="758"/>
      <c r="AN285" s="758"/>
      <c r="AP285" s="791" t="s">
        <v>678</v>
      </c>
      <c r="AQ285" s="792"/>
      <c r="AR285" s="793"/>
      <c r="AS285" s="131"/>
    </row>
    <row r="286" spans="1:48" s="110" customFormat="1" ht="4.5" customHeight="1" x14ac:dyDescent="0.3">
      <c r="A286" s="209"/>
      <c r="B286" s="111"/>
      <c r="C286" s="111"/>
      <c r="D286" s="111"/>
      <c r="E286" s="268"/>
      <c r="F286" s="138"/>
      <c r="G286" s="111"/>
      <c r="H286" s="111"/>
      <c r="I286" s="111"/>
      <c r="J286" s="126"/>
      <c r="K286" s="126"/>
      <c r="L286" s="126"/>
      <c r="M286" s="315"/>
      <c r="N286" s="315"/>
      <c r="O286" s="315"/>
      <c r="P286" s="315"/>
      <c r="Q286" s="315"/>
      <c r="R286" s="315"/>
      <c r="S286" s="315"/>
      <c r="T286" s="315"/>
      <c r="U286" s="315"/>
      <c r="V286" s="315"/>
      <c r="W286" s="315"/>
      <c r="X286" s="315"/>
      <c r="Y286" s="315"/>
      <c r="Z286" s="315"/>
      <c r="AA286" s="315"/>
      <c r="AB286" s="315"/>
      <c r="AC286" s="315"/>
      <c r="AD286" s="315"/>
      <c r="AE286" s="315"/>
      <c r="AF286" s="315"/>
      <c r="AG286" s="315"/>
      <c r="AH286" s="315"/>
      <c r="AI286" s="315"/>
      <c r="AJ286" s="315"/>
      <c r="AK286" s="315"/>
      <c r="AL286" s="315"/>
      <c r="AM286" s="315"/>
      <c r="AN286" s="315"/>
      <c r="AO286" s="315"/>
      <c r="AP286" s="315"/>
      <c r="AQ286" s="315"/>
      <c r="AR286" s="315"/>
      <c r="AS286" s="131"/>
      <c r="AT286" s="111"/>
      <c r="AU286" s="111"/>
      <c r="AV286" s="111"/>
    </row>
    <row r="287" spans="1:48" s="110" customFormat="1" x14ac:dyDescent="0.3">
      <c r="A287" s="209" t="s">
        <v>1452</v>
      </c>
      <c r="B287" s="111"/>
      <c r="C287" s="111"/>
      <c r="D287" s="111"/>
      <c r="E287" s="190" t="str">
        <f>IF(calculations!AC214&gt;0,"CO2 REFILL ON-SITE","")</f>
        <v/>
      </c>
      <c r="M287" s="819" t="s">
        <v>678</v>
      </c>
      <c r="N287" s="820"/>
      <c r="O287" s="821"/>
      <c r="P287" s="241"/>
      <c r="Q287" s="755" t="str">
        <f>IF(M287="yes","Provide details - tank capacity, controls, location, etc.","")</f>
        <v/>
      </c>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7"/>
      <c r="AS287" s="131"/>
      <c r="AT287" s="111"/>
      <c r="AU287" s="111"/>
      <c r="AV287" s="111"/>
    </row>
    <row r="288" spans="1:48" s="110" customFormat="1" ht="4.5" customHeight="1" x14ac:dyDescent="0.3">
      <c r="A288" s="136"/>
      <c r="B288" s="111"/>
      <c r="C288" s="111"/>
      <c r="D288" s="111"/>
      <c r="E288" s="121"/>
      <c r="F288" s="138"/>
      <c r="G288" s="111"/>
      <c r="H288" s="111"/>
      <c r="I288" s="111"/>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31"/>
      <c r="AT288" s="111"/>
      <c r="AU288" s="111"/>
      <c r="AV288" s="111"/>
    </row>
    <row r="289" spans="1:48" s="110" customFormat="1" ht="12.75" customHeight="1" x14ac:dyDescent="0.3">
      <c r="A289" s="142"/>
      <c r="B289" s="111"/>
      <c r="C289" s="111"/>
      <c r="D289" s="111"/>
      <c r="E289" s="121"/>
      <c r="F289" s="116" t="str">
        <f>IF(calculations!AC214=1,"COMMENTS","")</f>
        <v/>
      </c>
      <c r="J289" s="755"/>
      <c r="K289" s="756"/>
      <c r="L289" s="756"/>
      <c r="M289" s="756"/>
      <c r="N289" s="756"/>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7"/>
      <c r="AS289" s="131"/>
      <c r="AT289" s="111"/>
      <c r="AU289" s="111"/>
      <c r="AV289" s="111"/>
    </row>
    <row r="290" spans="1:48" s="110" customFormat="1" ht="4.5" customHeight="1" x14ac:dyDescent="0.3">
      <c r="A290" s="136"/>
      <c r="B290" s="111"/>
      <c r="C290" s="111"/>
      <c r="D290" s="111"/>
      <c r="E290" s="121"/>
      <c r="F290" s="138"/>
      <c r="G290" s="111"/>
      <c r="H290" s="111"/>
      <c r="I290" s="111"/>
      <c r="J290" s="315"/>
      <c r="K290" s="315"/>
      <c r="L290" s="315"/>
      <c r="M290" s="315"/>
      <c r="N290" s="315"/>
      <c r="O290" s="315"/>
      <c r="P290" s="315"/>
      <c r="Q290" s="315"/>
      <c r="R290" s="315"/>
      <c r="S290" s="315"/>
      <c r="T290" s="315"/>
      <c r="U290" s="315"/>
      <c r="V290" s="315"/>
      <c r="W290" s="315"/>
      <c r="X290" s="315"/>
      <c r="Y290" s="315"/>
      <c r="Z290" s="315"/>
      <c r="AA290" s="315"/>
      <c r="AB290" s="315"/>
      <c r="AC290" s="315"/>
      <c r="AD290" s="315"/>
      <c r="AE290" s="315"/>
      <c r="AF290" s="315"/>
      <c r="AG290" s="315"/>
      <c r="AH290" s="315"/>
      <c r="AI290" s="315"/>
      <c r="AJ290" s="315"/>
      <c r="AK290" s="315"/>
      <c r="AL290" s="315"/>
      <c r="AM290" s="315"/>
      <c r="AN290" s="315"/>
      <c r="AO290" s="315"/>
      <c r="AP290" s="315"/>
      <c r="AQ290" s="315"/>
      <c r="AR290" s="315"/>
      <c r="AS290" s="131"/>
      <c r="AT290" s="111"/>
      <c r="AU290" s="111"/>
      <c r="AV290" s="111"/>
    </row>
    <row r="291" spans="1:48" s="110" customFormat="1" ht="37.5" customHeight="1" x14ac:dyDescent="0.35">
      <c r="A291" s="209" t="s">
        <v>1558</v>
      </c>
      <c r="B291" s="111"/>
      <c r="C291" s="111"/>
      <c r="D291" s="111"/>
      <c r="E291" s="139"/>
      <c r="F291" s="296" t="str">
        <f>IF(J291&gt;"","REC",IF(J292&gt;"","REC",""))</f>
        <v/>
      </c>
      <c r="J291" s="798" t="str">
        <f>IF(AP285="no",Rec!D177,"")</f>
        <v/>
      </c>
      <c r="K291" s="799"/>
      <c r="L291" s="799"/>
      <c r="M291" s="799"/>
      <c r="N291" s="799"/>
      <c r="O291" s="799"/>
      <c r="P291" s="799"/>
      <c r="Q291" s="799"/>
      <c r="R291" s="799"/>
      <c r="S291" s="799"/>
      <c r="T291" s="799"/>
      <c r="U291" s="799"/>
      <c r="V291" s="799"/>
      <c r="W291" s="799"/>
      <c r="X291" s="799"/>
      <c r="Y291" s="799"/>
      <c r="Z291" s="799"/>
      <c r="AA291" s="799"/>
      <c r="AB291" s="799"/>
      <c r="AC291" s="799"/>
      <c r="AD291" s="799"/>
      <c r="AE291" s="799"/>
      <c r="AF291" s="799"/>
      <c r="AG291" s="799"/>
      <c r="AH291" s="799"/>
      <c r="AI291" s="799"/>
      <c r="AJ291" s="799"/>
      <c r="AK291" s="799"/>
      <c r="AL291" s="799"/>
      <c r="AM291" s="799"/>
      <c r="AN291" s="799"/>
      <c r="AO291" s="799"/>
      <c r="AP291" s="799"/>
      <c r="AQ291" s="799"/>
      <c r="AR291" s="800"/>
      <c r="AS291" s="131"/>
      <c r="AT291" s="111"/>
      <c r="AU291" s="111"/>
      <c r="AV291" s="111"/>
    </row>
    <row r="292" spans="1:48" s="110" customFormat="1" ht="16.5" customHeight="1" x14ac:dyDescent="0.35">
      <c r="A292" s="209"/>
      <c r="B292" s="111"/>
      <c r="C292" s="111"/>
      <c r="D292" s="111"/>
      <c r="E292" s="139"/>
      <c r="F292" s="296"/>
      <c r="J292" s="811"/>
      <c r="K292" s="812"/>
      <c r="L292" s="812"/>
      <c r="M292" s="812"/>
      <c r="N292" s="812"/>
      <c r="O292" s="812"/>
      <c r="P292" s="812"/>
      <c r="Q292" s="812"/>
      <c r="R292" s="812"/>
      <c r="S292" s="812"/>
      <c r="T292" s="812"/>
      <c r="U292" s="812"/>
      <c r="V292" s="812"/>
      <c r="W292" s="812"/>
      <c r="X292" s="812"/>
      <c r="Y292" s="812"/>
      <c r="Z292" s="812"/>
      <c r="AA292" s="812"/>
      <c r="AB292" s="812"/>
      <c r="AC292" s="812"/>
      <c r="AD292" s="812"/>
      <c r="AE292" s="812"/>
      <c r="AF292" s="812"/>
      <c r="AG292" s="812"/>
      <c r="AH292" s="812"/>
      <c r="AI292" s="812"/>
      <c r="AJ292" s="812"/>
      <c r="AK292" s="812"/>
      <c r="AL292" s="812"/>
      <c r="AM292" s="812"/>
      <c r="AN292" s="812"/>
      <c r="AO292" s="812"/>
      <c r="AP292" s="812"/>
      <c r="AQ292" s="812"/>
      <c r="AR292" s="813"/>
      <c r="AS292" s="131"/>
      <c r="AT292" s="111"/>
      <c r="AU292" s="111"/>
      <c r="AV292" s="111"/>
    </row>
    <row r="293" spans="1:48" s="110" customFormat="1" ht="12.75" customHeight="1" x14ac:dyDescent="0.3">
      <c r="A293" s="136"/>
      <c r="B293" s="111"/>
      <c r="C293" s="111"/>
      <c r="D293" s="111"/>
      <c r="E293" s="121"/>
      <c r="F293" s="138"/>
      <c r="G293" s="111"/>
      <c r="H293" s="111"/>
      <c r="I293" s="111"/>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31"/>
      <c r="AT293" s="111"/>
      <c r="AU293" s="111"/>
      <c r="AV293" s="111"/>
    </row>
    <row r="294" spans="1:48" s="110" customFormat="1" ht="14.15" x14ac:dyDescent="0.3">
      <c r="A294" s="182" t="s">
        <v>869</v>
      </c>
      <c r="B294" s="111"/>
      <c r="C294" s="111"/>
      <c r="D294" s="137" t="s">
        <v>892</v>
      </c>
      <c r="E294" s="121"/>
      <c r="F294" s="138"/>
      <c r="G294" s="111"/>
      <c r="H294" s="111"/>
      <c r="I294" s="111"/>
      <c r="J294" s="126"/>
      <c r="L294" s="126"/>
      <c r="M294" s="126"/>
      <c r="N294" s="126"/>
      <c r="P294" s="344" t="str">
        <f>IF(calculations!AG223=1,"","COMPLETE DETAILS FOR GRADE")</f>
        <v/>
      </c>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298" t="str">
        <f>calculations!U186</f>
        <v/>
      </c>
      <c r="AM294" s="126"/>
      <c r="AN294" s="126"/>
      <c r="AO294" s="126"/>
      <c r="AP294" s="126"/>
      <c r="AQ294" s="126"/>
      <c r="AR294" s="126"/>
      <c r="AS294" s="131"/>
      <c r="AT294" s="111"/>
      <c r="AU294" s="111"/>
      <c r="AV294" s="111"/>
    </row>
    <row r="295" spans="1:48" s="110" customFormat="1" ht="4.5" customHeight="1" x14ac:dyDescent="0.3">
      <c r="A295" s="136"/>
      <c r="B295" s="111"/>
      <c r="C295" s="111"/>
      <c r="D295" s="111"/>
      <c r="E295" s="121"/>
      <c r="F295" s="138"/>
      <c r="G295" s="111"/>
      <c r="H295" s="111"/>
      <c r="I295" s="111"/>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31"/>
      <c r="AT295" s="111"/>
      <c r="AU295" s="111"/>
      <c r="AV295" s="111"/>
    </row>
    <row r="296" spans="1:48" s="110" customFormat="1" ht="12.75" customHeight="1" x14ac:dyDescent="0.3">
      <c r="A296" s="182" t="s">
        <v>66</v>
      </c>
      <c r="B296" s="111"/>
      <c r="C296" s="111"/>
      <c r="D296" s="111"/>
      <c r="E296" s="267" t="s">
        <v>890</v>
      </c>
      <c r="F296" s="138"/>
      <c r="G296" s="111"/>
      <c r="H296" s="111"/>
      <c r="I296" s="111"/>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31"/>
      <c r="AT296" s="111"/>
      <c r="AU296" s="111"/>
      <c r="AV296" s="111"/>
    </row>
    <row r="297" spans="1:48" s="110" customFormat="1" x14ac:dyDescent="0.3">
      <c r="A297" s="182"/>
      <c r="B297" s="111"/>
      <c r="C297" s="111"/>
      <c r="D297" s="111"/>
      <c r="E297" s="268"/>
      <c r="F297" s="138"/>
      <c r="G297" s="111"/>
      <c r="H297" s="111"/>
      <c r="I297" s="111"/>
      <c r="J297" s="199" t="str">
        <f>IF(calculations!AD223&gt;1,"please choose NONE or one or more of the other selections above","")</f>
        <v/>
      </c>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31"/>
      <c r="AT297" s="111"/>
      <c r="AU297" s="111"/>
      <c r="AV297" s="111"/>
    </row>
    <row r="298" spans="1:48" s="110" customFormat="1" ht="26.25" customHeight="1" x14ac:dyDescent="0.3">
      <c r="A298" s="182" t="s">
        <v>67</v>
      </c>
      <c r="B298" s="111"/>
      <c r="C298" s="111"/>
      <c r="D298" s="111"/>
      <c r="E298" s="271" t="str">
        <f>IF(calculations!AC223&gt;0,"DETAILS","")</f>
        <v/>
      </c>
      <c r="G298" s="111"/>
      <c r="H298" s="111"/>
      <c r="I298" s="111"/>
      <c r="K298" s="168"/>
      <c r="L298" s="203"/>
      <c r="M298" s="755" t="str">
        <f>IF(calculations!AC223&gt;0,"Note location, separation from other programming, training and certification of instructor, firing line protocols, etc.","")</f>
        <v/>
      </c>
      <c r="N298" s="756"/>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7"/>
      <c r="AS298" s="131"/>
      <c r="AT298" s="111"/>
      <c r="AU298" s="111"/>
      <c r="AV298" s="111"/>
    </row>
    <row r="299" spans="1:48" s="110" customFormat="1" ht="9" customHeight="1" x14ac:dyDescent="0.3">
      <c r="A299" s="182"/>
      <c r="B299" s="111"/>
      <c r="C299" s="111"/>
      <c r="D299" s="111"/>
      <c r="E299" s="143"/>
      <c r="K299" s="200" t="s">
        <v>1088</v>
      </c>
      <c r="L299" s="168"/>
      <c r="M299" s="315"/>
      <c r="N299" s="315"/>
      <c r="O299" s="315"/>
      <c r="P299" s="315"/>
      <c r="Q299" s="315"/>
      <c r="R299" s="315"/>
      <c r="S299" s="315"/>
      <c r="T299" s="315"/>
      <c r="U299" s="315"/>
      <c r="V299" s="315"/>
      <c r="W299" s="315"/>
      <c r="X299" s="315"/>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131"/>
      <c r="AT299" s="111"/>
      <c r="AU299" s="111"/>
      <c r="AV299" s="111"/>
    </row>
    <row r="300" spans="1:48" s="110" customFormat="1" x14ac:dyDescent="0.3">
      <c r="A300" s="182" t="s">
        <v>68</v>
      </c>
      <c r="B300" s="111"/>
      <c r="C300" s="111"/>
      <c r="D300" s="111"/>
      <c r="E300" s="111"/>
      <c r="F300" s="1"/>
      <c r="G300" s="1"/>
      <c r="H300" s="1"/>
      <c r="I300" s="1"/>
      <c r="J300" s="154"/>
      <c r="K300" s="198"/>
      <c r="L300" s="149"/>
      <c r="M300" s="243" t="str">
        <f>IF(calculations!AC223=1,"There is a Range Commander and a visibly defined firing line.","")</f>
        <v/>
      </c>
      <c r="N300" s="315"/>
      <c r="O300" s="315"/>
      <c r="P300" s="315"/>
      <c r="Q300" s="315"/>
      <c r="R300" s="315"/>
      <c r="S300" s="315"/>
      <c r="T300" s="315"/>
      <c r="U300" s="315"/>
      <c r="V300" s="315"/>
      <c r="W300" s="315"/>
      <c r="X300" s="315"/>
      <c r="Y300" s="315"/>
      <c r="Z300" s="315"/>
      <c r="AA300" s="315"/>
      <c r="AB300" s="315"/>
      <c r="AC300" s="315"/>
      <c r="AD300" s="315"/>
      <c r="AE300" s="315"/>
      <c r="AF300" s="315"/>
      <c r="AG300" s="315"/>
      <c r="AH300" s="315"/>
      <c r="AI300" s="315"/>
      <c r="AJ300" s="315"/>
      <c r="AK300" s="315"/>
      <c r="AL300" s="315"/>
      <c r="AM300" s="315"/>
      <c r="AN300" s="315"/>
      <c r="AO300" s="315"/>
      <c r="AP300" s="315"/>
      <c r="AQ300" s="315"/>
      <c r="AR300" s="315"/>
      <c r="AS300" s="131"/>
      <c r="AT300" s="111"/>
      <c r="AU300" s="111"/>
      <c r="AV300" s="111"/>
    </row>
    <row r="301" spans="1:48" s="110" customFormat="1" ht="8.25" customHeight="1" x14ac:dyDescent="0.3">
      <c r="A301" s="182"/>
      <c r="B301" s="111"/>
      <c r="C301" s="111"/>
      <c r="D301" s="111"/>
      <c r="E301" s="111"/>
      <c r="K301" s="200"/>
      <c r="L301" s="149"/>
      <c r="M301" s="241"/>
      <c r="N301" s="315"/>
      <c r="O301" s="315"/>
      <c r="P301" s="315"/>
      <c r="Q301" s="315"/>
      <c r="R301" s="315"/>
      <c r="S301" s="315"/>
      <c r="T301" s="315"/>
      <c r="U301" s="315"/>
      <c r="V301" s="315"/>
      <c r="W301" s="315"/>
      <c r="X301" s="315"/>
      <c r="Y301" s="315"/>
      <c r="Z301" s="315"/>
      <c r="AA301" s="315"/>
      <c r="AB301" s="315"/>
      <c r="AC301" s="315"/>
      <c r="AD301" s="315"/>
      <c r="AE301" s="315"/>
      <c r="AF301" s="315"/>
      <c r="AG301" s="315"/>
      <c r="AH301" s="315"/>
      <c r="AI301" s="315"/>
      <c r="AJ301" s="315"/>
      <c r="AK301" s="315"/>
      <c r="AL301" s="315"/>
      <c r="AM301" s="315"/>
      <c r="AN301" s="315"/>
      <c r="AO301" s="315"/>
      <c r="AP301" s="315"/>
      <c r="AQ301" s="315"/>
      <c r="AR301" s="315"/>
      <c r="AS301" s="131"/>
      <c r="AT301" s="111"/>
      <c r="AU301" s="111"/>
      <c r="AV301" s="111"/>
    </row>
    <row r="302" spans="1:48" s="110" customFormat="1" x14ac:dyDescent="0.3">
      <c r="A302" s="182" t="s">
        <v>265</v>
      </c>
      <c r="B302" s="111"/>
      <c r="C302" s="111"/>
      <c r="D302" s="111"/>
      <c r="E302" s="111"/>
      <c r="F302" s="1"/>
      <c r="G302" s="1"/>
      <c r="H302" s="1"/>
      <c r="I302" s="1"/>
      <c r="J302" s="154"/>
      <c r="K302" s="198"/>
      <c r="L302" s="149"/>
      <c r="M302" s="241" t="str">
        <f>IF(calculations!AC223=1,"There are posted rules, clear boundaries, and clear communications.","")</f>
        <v/>
      </c>
      <c r="N302" s="315"/>
      <c r="O302" s="315"/>
      <c r="P302" s="315"/>
      <c r="Q302" s="315"/>
      <c r="R302" s="315"/>
      <c r="S302" s="315"/>
      <c r="T302" s="315"/>
      <c r="U302" s="315"/>
      <c r="V302" s="315"/>
      <c r="W302" s="315"/>
      <c r="X302" s="315"/>
      <c r="Y302" s="315"/>
      <c r="Z302" s="315"/>
      <c r="AA302" s="315"/>
      <c r="AB302" s="315"/>
      <c r="AC302" s="315"/>
      <c r="AD302" s="315"/>
      <c r="AE302" s="315"/>
      <c r="AF302" s="315"/>
      <c r="AG302" s="315"/>
      <c r="AH302" s="315"/>
      <c r="AI302" s="315"/>
      <c r="AJ302" s="315"/>
      <c r="AK302" s="315"/>
      <c r="AL302" s="315"/>
      <c r="AM302" s="315"/>
      <c r="AN302" s="315"/>
      <c r="AO302" s="315"/>
      <c r="AP302" s="315"/>
      <c r="AQ302" s="315"/>
      <c r="AR302" s="315"/>
      <c r="AS302" s="131"/>
      <c r="AT302" s="111"/>
      <c r="AU302" s="111"/>
      <c r="AV302" s="111"/>
    </row>
    <row r="303" spans="1:48" s="110" customFormat="1" ht="8.25" customHeight="1" x14ac:dyDescent="0.3">
      <c r="A303" s="182"/>
      <c r="B303" s="111"/>
      <c r="C303" s="111"/>
      <c r="D303" s="111"/>
      <c r="E303" s="111"/>
      <c r="K303" s="200"/>
      <c r="L303" s="149"/>
      <c r="M303" s="315"/>
      <c r="N303" s="315"/>
      <c r="O303" s="315"/>
      <c r="P303" s="315"/>
      <c r="Q303" s="315"/>
      <c r="R303" s="315"/>
      <c r="S303" s="315"/>
      <c r="T303" s="315"/>
      <c r="U303" s="315"/>
      <c r="V303" s="315"/>
      <c r="W303" s="315"/>
      <c r="X303" s="315"/>
      <c r="Y303" s="315"/>
      <c r="Z303" s="315"/>
      <c r="AA303" s="315"/>
      <c r="AB303" s="315"/>
      <c r="AC303" s="315"/>
      <c r="AD303" s="315"/>
      <c r="AE303" s="315"/>
      <c r="AF303" s="315"/>
      <c r="AG303" s="315"/>
      <c r="AH303" s="315"/>
      <c r="AI303" s="315"/>
      <c r="AJ303" s="315"/>
      <c r="AK303" s="315"/>
      <c r="AL303" s="315"/>
      <c r="AM303" s="315"/>
      <c r="AN303" s="315"/>
      <c r="AO303" s="315"/>
      <c r="AP303" s="315"/>
      <c r="AQ303" s="315"/>
      <c r="AR303" s="315"/>
      <c r="AS303" s="131"/>
      <c r="AT303" s="111"/>
      <c r="AU303" s="111"/>
      <c r="AV303" s="111"/>
    </row>
    <row r="304" spans="1:48" s="110" customFormat="1" x14ac:dyDescent="0.3">
      <c r="A304" s="182" t="s">
        <v>1087</v>
      </c>
      <c r="B304" s="111"/>
      <c r="C304" s="111"/>
      <c r="D304" s="111"/>
      <c r="E304" s="111"/>
      <c r="F304" s="1"/>
      <c r="G304" s="1"/>
      <c r="H304" s="1"/>
      <c r="I304" s="1"/>
      <c r="J304" s="154"/>
      <c r="K304" s="198"/>
      <c r="L304" s="149"/>
      <c r="M304" s="241" t="str">
        <f>IF(calculations!AC223=1,"There is a means of collecting spent rounds to prevent contamination of the environment.","")</f>
        <v/>
      </c>
      <c r="N304" s="315"/>
      <c r="O304" s="315"/>
      <c r="P304" s="315"/>
      <c r="Q304" s="315"/>
      <c r="R304" s="315"/>
      <c r="S304" s="315"/>
      <c r="T304" s="315"/>
      <c r="U304" s="315"/>
      <c r="V304" s="315"/>
      <c r="W304" s="315"/>
      <c r="X304" s="315"/>
      <c r="Y304" s="315"/>
      <c r="Z304" s="315"/>
      <c r="AA304" s="315"/>
      <c r="AB304" s="315"/>
      <c r="AC304" s="315"/>
      <c r="AD304" s="315"/>
      <c r="AE304" s="315"/>
      <c r="AF304" s="315"/>
      <c r="AG304" s="315"/>
      <c r="AH304" s="315"/>
      <c r="AI304" s="315"/>
      <c r="AJ304" s="315"/>
      <c r="AK304" s="315"/>
      <c r="AL304" s="315"/>
      <c r="AM304" s="315"/>
      <c r="AN304" s="315"/>
      <c r="AO304" s="315"/>
      <c r="AP304" s="315"/>
      <c r="AQ304" s="315"/>
      <c r="AR304" s="315"/>
      <c r="AS304" s="131"/>
      <c r="AT304" s="111"/>
      <c r="AU304" s="111"/>
      <c r="AV304" s="111"/>
    </row>
    <row r="305" spans="1:50" s="110" customFormat="1" ht="8.25" customHeight="1" x14ac:dyDescent="0.3">
      <c r="A305" s="182"/>
      <c r="B305" s="111"/>
      <c r="C305" s="111"/>
      <c r="D305" s="111"/>
      <c r="E305" s="111"/>
      <c r="F305" s="1"/>
      <c r="G305" s="1"/>
      <c r="H305" s="1"/>
      <c r="I305" s="1"/>
      <c r="J305" s="154"/>
      <c r="K305" s="198"/>
      <c r="L305" s="149"/>
      <c r="M305" s="241"/>
      <c r="N305" s="315"/>
      <c r="O305" s="315"/>
      <c r="P305" s="315"/>
      <c r="Q305" s="315"/>
      <c r="R305" s="315"/>
      <c r="S305" s="315"/>
      <c r="T305" s="315"/>
      <c r="U305" s="315"/>
      <c r="V305" s="315"/>
      <c r="W305" s="315"/>
      <c r="X305" s="315"/>
      <c r="Y305" s="315"/>
      <c r="Z305" s="315"/>
      <c r="AA305" s="315"/>
      <c r="AB305" s="315"/>
      <c r="AC305" s="315"/>
      <c r="AD305" s="315"/>
      <c r="AE305" s="315"/>
      <c r="AF305" s="315"/>
      <c r="AG305" s="315"/>
      <c r="AH305" s="315"/>
      <c r="AI305" s="315"/>
      <c r="AJ305" s="315"/>
      <c r="AK305" s="315"/>
      <c r="AL305" s="315"/>
      <c r="AM305" s="315"/>
      <c r="AN305" s="315"/>
      <c r="AO305" s="315"/>
      <c r="AP305" s="315"/>
      <c r="AQ305" s="315"/>
      <c r="AR305" s="315"/>
      <c r="AS305" s="131"/>
      <c r="AT305" s="111"/>
      <c r="AU305" s="111"/>
      <c r="AV305" s="111"/>
    </row>
    <row r="306" spans="1:50" s="110" customFormat="1" x14ac:dyDescent="0.3">
      <c r="A306" s="182" t="s">
        <v>1453</v>
      </c>
      <c r="B306" s="111"/>
      <c r="C306" s="111"/>
      <c r="D306" s="111"/>
      <c r="E306" s="111"/>
      <c r="F306" s="1"/>
      <c r="G306" s="1"/>
      <c r="H306" s="1"/>
      <c r="I306" s="1"/>
      <c r="J306" s="154"/>
      <c r="K306" s="198"/>
      <c r="L306" s="149"/>
      <c r="M306" s="241" t="str">
        <f>IF(calculations!AC223=1,"Guns and ammunition are stored in separate locked cabinets, closets, or locations.","")</f>
        <v/>
      </c>
      <c r="N306" s="315"/>
      <c r="O306" s="315"/>
      <c r="P306" s="315"/>
      <c r="Q306" s="315"/>
      <c r="R306" s="315"/>
      <c r="S306" s="315"/>
      <c r="T306" s="315"/>
      <c r="U306" s="315"/>
      <c r="V306" s="315"/>
      <c r="W306" s="315"/>
      <c r="X306" s="315"/>
      <c r="Y306" s="315"/>
      <c r="Z306" s="315"/>
      <c r="AA306" s="315"/>
      <c r="AB306" s="315"/>
      <c r="AC306" s="315"/>
      <c r="AD306" s="315"/>
      <c r="AE306" s="315"/>
      <c r="AF306" s="315"/>
      <c r="AG306" s="315"/>
      <c r="AH306" s="315"/>
      <c r="AI306" s="315"/>
      <c r="AJ306" s="315"/>
      <c r="AK306" s="315"/>
      <c r="AL306" s="315"/>
      <c r="AM306" s="315"/>
      <c r="AN306" s="315"/>
      <c r="AO306" s="315"/>
      <c r="AP306" s="315"/>
      <c r="AQ306" s="315"/>
      <c r="AR306" s="315"/>
      <c r="AS306" s="131"/>
      <c r="AT306" s="111"/>
      <c r="AU306" s="111"/>
      <c r="AV306" s="111"/>
    </row>
    <row r="307" spans="1:50" s="110" customFormat="1" ht="4.5" customHeight="1" x14ac:dyDescent="0.3">
      <c r="A307" s="182"/>
      <c r="B307" s="111"/>
      <c r="C307" s="111"/>
      <c r="D307" s="111"/>
      <c r="E307" s="111"/>
      <c r="F307" s="1"/>
      <c r="G307" s="1"/>
      <c r="H307" s="1"/>
      <c r="I307" s="1"/>
      <c r="J307" s="154"/>
      <c r="K307" s="198"/>
      <c r="L307" s="149"/>
      <c r="M307" s="241"/>
      <c r="N307" s="315"/>
      <c r="O307" s="315"/>
      <c r="P307" s="315"/>
      <c r="Q307" s="315"/>
      <c r="R307" s="315"/>
      <c r="S307" s="315"/>
      <c r="T307" s="315"/>
      <c r="U307" s="315"/>
      <c r="V307" s="315"/>
      <c r="W307" s="315"/>
      <c r="X307" s="315"/>
      <c r="Y307" s="315"/>
      <c r="Z307" s="315"/>
      <c r="AA307" s="315"/>
      <c r="AB307" s="315"/>
      <c r="AC307" s="315"/>
      <c r="AD307" s="315"/>
      <c r="AE307" s="315"/>
      <c r="AF307" s="315"/>
      <c r="AG307" s="315"/>
      <c r="AH307" s="315"/>
      <c r="AI307" s="315"/>
      <c r="AJ307" s="315"/>
      <c r="AK307" s="315"/>
      <c r="AL307" s="315"/>
      <c r="AM307" s="315"/>
      <c r="AN307" s="315"/>
      <c r="AO307" s="315"/>
      <c r="AP307" s="315"/>
      <c r="AQ307" s="315"/>
      <c r="AR307" s="315"/>
      <c r="AS307" s="131"/>
      <c r="AT307" s="111"/>
      <c r="AU307" s="111"/>
      <c r="AV307" s="111"/>
    </row>
    <row r="308" spans="1:50" s="110" customFormat="1" ht="12.75" customHeight="1" x14ac:dyDescent="0.35">
      <c r="A308" s="135"/>
      <c r="B308" s="111"/>
      <c r="C308" s="111"/>
      <c r="D308" s="111"/>
      <c r="E308" s="139"/>
      <c r="F308" s="116" t="str">
        <f>IF(calculations!AC223=1,"COMMENTS","")</f>
        <v/>
      </c>
      <c r="J308" s="755"/>
      <c r="K308" s="756"/>
      <c r="L308" s="756"/>
      <c r="M308" s="756"/>
      <c r="N308" s="756"/>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7"/>
      <c r="AS308" s="131"/>
      <c r="AT308" s="111"/>
      <c r="AU308" s="111"/>
      <c r="AV308" s="111"/>
      <c r="AX308" s="111"/>
    </row>
    <row r="309" spans="1:50" s="110" customFormat="1" ht="4.5" customHeight="1" x14ac:dyDescent="0.3">
      <c r="A309" s="136"/>
      <c r="B309" s="111"/>
      <c r="C309" s="111"/>
      <c r="D309" s="111"/>
      <c r="E309" s="121"/>
      <c r="F309" s="138"/>
      <c r="G309" s="111"/>
      <c r="H309" s="111"/>
      <c r="I309" s="111"/>
      <c r="J309" s="315"/>
      <c r="K309" s="315"/>
      <c r="L309" s="315"/>
      <c r="M309" s="315"/>
      <c r="N309" s="315"/>
      <c r="O309" s="315"/>
      <c r="P309" s="315"/>
      <c r="Q309" s="315"/>
      <c r="R309" s="315"/>
      <c r="S309" s="315"/>
      <c r="T309" s="315"/>
      <c r="U309" s="315"/>
      <c r="V309" s="315"/>
      <c r="W309" s="315"/>
      <c r="X309" s="315"/>
      <c r="Y309" s="315"/>
      <c r="Z309" s="315"/>
      <c r="AA309" s="315"/>
      <c r="AB309" s="315"/>
      <c r="AC309" s="315"/>
      <c r="AD309" s="315"/>
      <c r="AE309" s="315"/>
      <c r="AF309" s="315"/>
      <c r="AG309" s="315"/>
      <c r="AH309" s="315"/>
      <c r="AI309" s="315"/>
      <c r="AJ309" s="315"/>
      <c r="AK309" s="315"/>
      <c r="AL309" s="315"/>
      <c r="AM309" s="315"/>
      <c r="AN309" s="315"/>
      <c r="AO309" s="315"/>
      <c r="AP309" s="315"/>
      <c r="AQ309" s="315"/>
      <c r="AR309" s="315"/>
      <c r="AS309" s="131"/>
      <c r="AT309" s="111"/>
      <c r="AU309" s="111"/>
      <c r="AV309" s="111"/>
      <c r="AX309" s="111"/>
    </row>
    <row r="310" spans="1:50" ht="37.5" customHeight="1" x14ac:dyDescent="0.3">
      <c r="F310" s="296" t="str">
        <f>IF(calculations!AB233,"OFE",IF(Rec!C182=1,"REC",IF(Rec!C182&gt;1,"RECS","")))</f>
        <v>OFE</v>
      </c>
      <c r="J310" s="755" t="str">
        <f>IF(Rec!C182&gt;0,Rec!E182,"")</f>
        <v/>
      </c>
      <c r="K310" s="756"/>
      <c r="L310" s="756"/>
      <c r="M310" s="756"/>
      <c r="N310" s="756"/>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7"/>
    </row>
    <row r="311" spans="1:50" s="110" customFormat="1" ht="12.75" customHeight="1" x14ac:dyDescent="0.3">
      <c r="A311" s="136"/>
      <c r="B311" s="111"/>
      <c r="C311" s="111"/>
      <c r="E311" s="121"/>
      <c r="F311" s="138"/>
      <c r="G311" s="111"/>
      <c r="H311" s="111"/>
      <c r="I311" s="111"/>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31"/>
      <c r="AT311" s="111"/>
      <c r="AU311" s="111"/>
      <c r="AV311" s="111"/>
    </row>
    <row r="312" spans="1:50" s="110" customFormat="1" ht="14.15" x14ac:dyDescent="0.3">
      <c r="A312" s="182" t="s">
        <v>870</v>
      </c>
      <c r="B312" s="111"/>
      <c r="C312" s="111"/>
      <c r="D312" s="137" t="s">
        <v>891</v>
      </c>
      <c r="E312" s="121"/>
      <c r="F312" s="138"/>
      <c r="G312" s="111"/>
      <c r="H312" s="111"/>
      <c r="I312" s="111"/>
      <c r="J312" s="126"/>
      <c r="K312" s="126"/>
      <c r="L312" s="126"/>
      <c r="M312" s="126"/>
      <c r="O312" s="126"/>
      <c r="P312" s="344" t="str">
        <f>IF(calculations!AG235=1,"","COMPLETE DETAILS FOR GRADE")</f>
        <v/>
      </c>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298" t="str">
        <f>calculations!U192</f>
        <v/>
      </c>
      <c r="AM312" s="126"/>
      <c r="AN312" s="126"/>
      <c r="AO312" s="126"/>
      <c r="AP312" s="126"/>
      <c r="AQ312" s="126"/>
      <c r="AR312" s="126"/>
      <c r="AS312" s="131"/>
      <c r="AT312" s="111"/>
      <c r="AU312" s="111"/>
      <c r="AV312" s="111"/>
    </row>
    <row r="313" spans="1:50" s="110" customFormat="1" ht="4.5" customHeight="1" x14ac:dyDescent="0.3">
      <c r="A313" s="136"/>
      <c r="B313" s="111"/>
      <c r="C313" s="111"/>
      <c r="D313" s="111"/>
      <c r="E313" s="121"/>
      <c r="F313" s="138"/>
      <c r="G313" s="111"/>
      <c r="H313" s="111"/>
      <c r="I313" s="111"/>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31"/>
      <c r="AT313" s="111"/>
      <c r="AU313" s="111"/>
      <c r="AV313" s="111"/>
    </row>
    <row r="314" spans="1:50" s="110" customFormat="1" ht="12.75" customHeight="1" x14ac:dyDescent="0.3">
      <c r="A314" s="182" t="s">
        <v>268</v>
      </c>
      <c r="B314" s="111"/>
      <c r="C314" s="111"/>
      <c r="D314" s="111"/>
      <c r="E314" s="267" t="s">
        <v>890</v>
      </c>
      <c r="F314" s="138"/>
      <c r="G314" s="111"/>
      <c r="H314" s="111"/>
      <c r="I314" s="111"/>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31"/>
      <c r="AT314" s="111"/>
      <c r="AU314" s="111"/>
      <c r="AV314" s="111"/>
    </row>
    <row r="315" spans="1:50" s="110" customFormat="1" x14ac:dyDescent="0.3">
      <c r="A315" s="182"/>
      <c r="B315" s="111"/>
      <c r="C315" s="111"/>
      <c r="D315" s="111"/>
      <c r="E315" s="268"/>
      <c r="F315" s="138"/>
      <c r="G315" s="111"/>
      <c r="H315" s="111"/>
      <c r="I315" s="111"/>
      <c r="J315" s="199" t="str">
        <f>IF(calculations!AD235&gt;1,"please choose NONE or one or more of the other selections above","")</f>
        <v/>
      </c>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31"/>
      <c r="AT315" s="111"/>
      <c r="AU315" s="111"/>
      <c r="AV315" s="111"/>
    </row>
    <row r="316" spans="1:50" s="110" customFormat="1" ht="27" customHeight="1" x14ac:dyDescent="0.3">
      <c r="A316" s="182" t="s">
        <v>269</v>
      </c>
      <c r="B316" s="111"/>
      <c r="C316" s="111"/>
      <c r="D316" s="111"/>
      <c r="E316" s="271" t="str">
        <f>IF(calculations!AC235&gt;0,"DETAILS","")</f>
        <v/>
      </c>
      <c r="G316" s="111"/>
      <c r="H316" s="111"/>
      <c r="I316" s="111"/>
      <c r="K316" s="168"/>
      <c r="L316" s="168"/>
      <c r="M316" s="818" t="str">
        <f>IF(calculations!AC235&gt;0,"Note location, separation from other programming, storage of bows and arrows, training and certification of instructor, firing line protocols, etc..","")</f>
        <v/>
      </c>
      <c r="N316" s="818"/>
      <c r="O316" s="818"/>
      <c r="P316" s="818"/>
      <c r="Q316" s="818"/>
      <c r="R316" s="818"/>
      <c r="S316" s="818"/>
      <c r="T316" s="818"/>
      <c r="U316" s="818"/>
      <c r="V316" s="818"/>
      <c r="W316" s="818"/>
      <c r="X316" s="818"/>
      <c r="Y316" s="818"/>
      <c r="Z316" s="818"/>
      <c r="AA316" s="818"/>
      <c r="AB316" s="818"/>
      <c r="AC316" s="818"/>
      <c r="AD316" s="818"/>
      <c r="AE316" s="818"/>
      <c r="AF316" s="818"/>
      <c r="AG316" s="818"/>
      <c r="AH316" s="818"/>
      <c r="AI316" s="818"/>
      <c r="AJ316" s="818"/>
      <c r="AK316" s="818"/>
      <c r="AL316" s="818"/>
      <c r="AM316" s="818"/>
      <c r="AN316" s="818"/>
      <c r="AO316" s="818"/>
      <c r="AP316" s="818"/>
      <c r="AQ316" s="818"/>
      <c r="AR316" s="818"/>
      <c r="AS316" s="131"/>
      <c r="AT316" s="111"/>
      <c r="AU316" s="111"/>
      <c r="AV316" s="111"/>
    </row>
    <row r="317" spans="1:50" s="110" customFormat="1" ht="9" customHeight="1" x14ac:dyDescent="0.3">
      <c r="A317" s="182"/>
      <c r="B317" s="111"/>
      <c r="C317" s="111"/>
      <c r="D317" s="143"/>
      <c r="J317" s="200" t="s">
        <v>1700</v>
      </c>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31"/>
      <c r="AT317" s="111"/>
      <c r="AU317" s="111"/>
      <c r="AV317" s="111"/>
    </row>
    <row r="318" spans="1:50" s="110" customFormat="1" x14ac:dyDescent="0.3">
      <c r="A318" s="182" t="s">
        <v>270</v>
      </c>
      <c r="B318" s="111"/>
      <c r="C318" s="111"/>
      <c r="D318" s="111"/>
      <c r="E318" s="1"/>
      <c r="F318" s="1"/>
      <c r="G318" s="1"/>
      <c r="H318" s="1"/>
      <c r="I318" s="154"/>
      <c r="J318" s="198"/>
      <c r="K318" s="198"/>
      <c r="L318" s="149"/>
      <c r="M318" s="243" t="str">
        <f>IF(calculations!AC235&gt;0,"There is a Range Commander and a visibly defined firing line","")</f>
        <v/>
      </c>
      <c r="N318" s="241"/>
      <c r="O318" s="241"/>
      <c r="P318" s="241"/>
      <c r="Q318" s="241"/>
      <c r="R318" s="241"/>
      <c r="S318" s="241"/>
      <c r="T318" s="241"/>
      <c r="U318" s="241"/>
      <c r="V318" s="241"/>
      <c r="W318" s="241"/>
      <c r="X318" s="241"/>
      <c r="Y318" s="241"/>
      <c r="Z318" s="241"/>
      <c r="AA318" s="241"/>
      <c r="AB318" s="241"/>
      <c r="AC318" s="241"/>
      <c r="AD318" s="241"/>
      <c r="AE318" s="241"/>
      <c r="AF318" s="241"/>
      <c r="AG318" s="241"/>
      <c r="AH318" s="241"/>
      <c r="AI318" s="241"/>
      <c r="AJ318" s="241"/>
      <c r="AK318" s="241"/>
      <c r="AL318" s="241"/>
      <c r="AM318" s="241"/>
      <c r="AN318" s="241"/>
      <c r="AO318" s="241"/>
      <c r="AP318" s="241"/>
      <c r="AQ318" s="241"/>
      <c r="AR318" s="241"/>
      <c r="AS318" s="131"/>
      <c r="AT318" s="111"/>
      <c r="AU318" s="111"/>
      <c r="AV318" s="111"/>
    </row>
    <row r="319" spans="1:50" s="110" customFormat="1" ht="6.75" customHeight="1" x14ac:dyDescent="0.3">
      <c r="A319" s="182"/>
      <c r="B319" s="111"/>
      <c r="C319" s="111"/>
      <c r="D319" s="111"/>
      <c r="J319" s="200"/>
      <c r="M319" s="241"/>
      <c r="N319" s="241"/>
      <c r="O319" s="241"/>
      <c r="P319" s="241"/>
      <c r="Q319" s="241"/>
      <c r="R319" s="241"/>
      <c r="S319" s="241"/>
      <c r="T319" s="241"/>
      <c r="U319" s="241"/>
      <c r="V319" s="241"/>
      <c r="W319" s="241"/>
      <c r="X319" s="241"/>
      <c r="Y319" s="241"/>
      <c r="Z319" s="241"/>
      <c r="AA319" s="241"/>
      <c r="AB319" s="241"/>
      <c r="AC319" s="241"/>
      <c r="AD319" s="241"/>
      <c r="AE319" s="241"/>
      <c r="AF319" s="241"/>
      <c r="AG319" s="241"/>
      <c r="AH319" s="241"/>
      <c r="AI319" s="241"/>
      <c r="AJ319" s="241"/>
      <c r="AK319" s="241"/>
      <c r="AL319" s="241"/>
      <c r="AM319" s="241"/>
      <c r="AN319" s="241"/>
      <c r="AO319" s="241"/>
      <c r="AP319" s="241"/>
      <c r="AQ319" s="241"/>
      <c r="AR319" s="241"/>
      <c r="AS319" s="131"/>
      <c r="AT319" s="111"/>
      <c r="AU319" s="111"/>
      <c r="AV319" s="111"/>
    </row>
    <row r="320" spans="1:50" s="110" customFormat="1" x14ac:dyDescent="0.3">
      <c r="A320" s="182" t="s">
        <v>271</v>
      </c>
      <c r="C320" s="111"/>
      <c r="D320" s="111"/>
      <c r="E320" s="1"/>
      <c r="F320" s="1"/>
      <c r="G320" s="1"/>
      <c r="H320" s="1"/>
      <c r="I320" s="154"/>
      <c r="J320" s="198"/>
      <c r="K320" s="198"/>
      <c r="L320" s="149"/>
      <c r="M320" s="241" t="str">
        <f>IF(calculations!AC235&gt;0,"There are posted rules, clear boundaries, and clear communications","")</f>
        <v/>
      </c>
      <c r="N320" s="241"/>
      <c r="O320" s="241"/>
      <c r="P320" s="241"/>
      <c r="Q320" s="241"/>
      <c r="R320" s="241"/>
      <c r="S320" s="241"/>
      <c r="T320" s="241"/>
      <c r="U320" s="241"/>
      <c r="V320" s="241"/>
      <c r="W320" s="241"/>
      <c r="X320" s="241"/>
      <c r="Y320" s="241"/>
      <c r="Z320" s="241"/>
      <c r="AA320" s="241"/>
      <c r="AB320" s="241"/>
      <c r="AC320" s="241"/>
      <c r="AD320" s="241"/>
      <c r="AE320" s="241"/>
      <c r="AF320" s="241"/>
      <c r="AG320" s="241"/>
      <c r="AH320" s="241"/>
      <c r="AI320" s="241"/>
      <c r="AJ320" s="241"/>
      <c r="AK320" s="241"/>
      <c r="AL320" s="241"/>
      <c r="AM320" s="241"/>
      <c r="AN320" s="241"/>
      <c r="AO320" s="241"/>
      <c r="AP320" s="241"/>
      <c r="AQ320" s="241"/>
      <c r="AR320" s="241"/>
      <c r="AT320" s="111"/>
    </row>
    <row r="321" spans="1:48" s="110" customFormat="1" ht="6.75" customHeight="1" x14ac:dyDescent="0.3">
      <c r="A321" s="136"/>
      <c r="B321" s="111"/>
      <c r="C321" s="111"/>
      <c r="D321" s="111"/>
      <c r="E321" s="111"/>
      <c r="F321" s="138"/>
      <c r="G321" s="111"/>
      <c r="H321" s="111"/>
      <c r="I321" s="111"/>
      <c r="J321" s="154"/>
      <c r="K321" s="198"/>
      <c r="L321" s="149"/>
      <c r="M321" s="315"/>
      <c r="N321" s="315"/>
      <c r="O321" s="315"/>
      <c r="P321" s="315"/>
      <c r="Q321" s="315"/>
      <c r="R321" s="315"/>
      <c r="S321" s="315"/>
      <c r="T321" s="315"/>
      <c r="U321" s="315"/>
      <c r="V321" s="315"/>
      <c r="W321" s="315"/>
      <c r="X321" s="315"/>
      <c r="Y321" s="315"/>
      <c r="Z321" s="315"/>
      <c r="AA321" s="315"/>
      <c r="AB321" s="315"/>
      <c r="AC321" s="315"/>
      <c r="AD321" s="315"/>
      <c r="AE321" s="315"/>
      <c r="AF321" s="315"/>
      <c r="AG321" s="315"/>
      <c r="AH321" s="315"/>
      <c r="AI321" s="315"/>
      <c r="AJ321" s="315"/>
      <c r="AK321" s="315"/>
      <c r="AL321" s="315"/>
      <c r="AM321" s="315"/>
      <c r="AN321" s="315"/>
      <c r="AO321" s="315"/>
      <c r="AP321" s="315"/>
      <c r="AQ321" s="315"/>
      <c r="AR321" s="315"/>
      <c r="AS321" s="131"/>
      <c r="AT321" s="111"/>
      <c r="AU321" s="111"/>
      <c r="AV321" s="111"/>
    </row>
    <row r="322" spans="1:48" s="110" customFormat="1" ht="12.75" customHeight="1" x14ac:dyDescent="0.3">
      <c r="A322" s="182" t="s">
        <v>272</v>
      </c>
      <c r="B322" s="111"/>
      <c r="C322" s="111"/>
      <c r="D322" s="111"/>
      <c r="E322" s="111"/>
      <c r="F322" s="138"/>
      <c r="G322" s="111"/>
      <c r="H322" s="111"/>
      <c r="I322" s="111"/>
      <c r="J322" s="154"/>
      <c r="K322" s="198"/>
      <c r="L322" s="149"/>
      <c r="M322" s="274" t="str">
        <f>IF(calculations!AC235&gt;0,"Bows and arrows are stored under lock and key.","")</f>
        <v/>
      </c>
      <c r="N322" s="315"/>
      <c r="O322" s="315"/>
      <c r="P322" s="315"/>
      <c r="Q322" s="315"/>
      <c r="R322" s="315"/>
      <c r="S322" s="315"/>
      <c r="T322" s="315"/>
      <c r="U322" s="315"/>
      <c r="V322" s="315"/>
      <c r="W322" s="315"/>
      <c r="X322" s="315"/>
      <c r="Y322" s="315"/>
      <c r="Z322" s="315"/>
      <c r="AA322" s="315"/>
      <c r="AB322" s="315"/>
      <c r="AC322" s="315"/>
      <c r="AD322" s="315"/>
      <c r="AE322" s="315"/>
      <c r="AF322" s="315"/>
      <c r="AG322" s="315"/>
      <c r="AH322" s="315"/>
      <c r="AI322" s="315"/>
      <c r="AJ322" s="315"/>
      <c r="AK322" s="315"/>
      <c r="AL322" s="315"/>
      <c r="AM322" s="315"/>
      <c r="AN322" s="315"/>
      <c r="AO322" s="315"/>
      <c r="AP322" s="315"/>
      <c r="AQ322" s="315"/>
      <c r="AR322" s="315"/>
      <c r="AS322" s="131"/>
      <c r="AT322" s="111"/>
      <c r="AU322" s="111"/>
      <c r="AV322" s="111"/>
    </row>
    <row r="323" spans="1:48" s="110" customFormat="1" ht="4.5" customHeight="1" x14ac:dyDescent="0.3">
      <c r="A323" s="136"/>
      <c r="B323" s="111"/>
      <c r="C323" s="111"/>
      <c r="D323" s="111"/>
      <c r="E323" s="111"/>
      <c r="F323" s="138"/>
      <c r="G323" s="111"/>
      <c r="H323" s="111"/>
      <c r="I323" s="111"/>
      <c r="J323" s="154"/>
      <c r="K323" s="198"/>
      <c r="L323" s="149"/>
      <c r="M323" s="315"/>
      <c r="N323" s="315"/>
      <c r="O323" s="315"/>
      <c r="P323" s="315"/>
      <c r="Q323" s="315"/>
      <c r="R323" s="315"/>
      <c r="S323" s="315"/>
      <c r="T323" s="315"/>
      <c r="U323" s="315"/>
      <c r="V323" s="315"/>
      <c r="W323" s="315"/>
      <c r="X323" s="315"/>
      <c r="Y323" s="315"/>
      <c r="Z323" s="315"/>
      <c r="AA323" s="315"/>
      <c r="AB323" s="315"/>
      <c r="AC323" s="315"/>
      <c r="AD323" s="315"/>
      <c r="AE323" s="315"/>
      <c r="AF323" s="315"/>
      <c r="AG323" s="315"/>
      <c r="AH323" s="315"/>
      <c r="AI323" s="315"/>
      <c r="AJ323" s="315"/>
      <c r="AK323" s="315"/>
      <c r="AL323" s="315"/>
      <c r="AM323" s="315"/>
      <c r="AN323" s="315"/>
      <c r="AO323" s="315"/>
      <c r="AP323" s="315"/>
      <c r="AQ323" s="315"/>
      <c r="AR323" s="315"/>
      <c r="AS323" s="131"/>
      <c r="AT323" s="111"/>
      <c r="AU323" s="111"/>
      <c r="AV323" s="111"/>
    </row>
    <row r="324" spans="1:48" s="110" customFormat="1" ht="12.75" customHeight="1" x14ac:dyDescent="0.35">
      <c r="A324" s="135"/>
      <c r="B324" s="111"/>
      <c r="C324" s="111"/>
      <c r="D324" s="111"/>
      <c r="E324" s="139"/>
      <c r="F324" s="116" t="str">
        <f>IF(calculations!AC235=1,"COMMENTS","")</f>
        <v/>
      </c>
      <c r="J324" s="755"/>
      <c r="K324" s="756"/>
      <c r="L324" s="756"/>
      <c r="M324" s="756"/>
      <c r="N324" s="756"/>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7"/>
      <c r="AS324" s="131"/>
      <c r="AT324" s="111"/>
      <c r="AU324" s="111"/>
      <c r="AV324" s="111"/>
    </row>
    <row r="325" spans="1:48" s="110" customFormat="1" ht="4.5" customHeight="1" x14ac:dyDescent="0.3">
      <c r="A325" s="136"/>
      <c r="B325" s="111"/>
      <c r="C325" s="111"/>
      <c r="D325" s="111"/>
      <c r="E325" s="121"/>
      <c r="F325" s="138"/>
      <c r="G325" s="111"/>
      <c r="H325" s="111"/>
      <c r="I325" s="111"/>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31"/>
      <c r="AT325" s="111"/>
      <c r="AU325" s="111"/>
      <c r="AV325" s="111"/>
    </row>
    <row r="326" spans="1:48" ht="25.5" customHeight="1" x14ac:dyDescent="0.3">
      <c r="F326" s="296" t="str">
        <f>IF(Rec!C186=1,"REC",IF(Rec!C186&gt;1,"RECS",""))</f>
        <v/>
      </c>
      <c r="J326" s="755" t="str">
        <f>IF(Rec!C186&gt;0,Rec!E186,"")</f>
        <v/>
      </c>
      <c r="K326" s="756"/>
      <c r="L326" s="756"/>
      <c r="M326" s="756"/>
      <c r="N326" s="756"/>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7"/>
    </row>
    <row r="327" spans="1:48" s="110" customFormat="1" ht="12.75" customHeight="1" x14ac:dyDescent="0.3">
      <c r="A327" s="136"/>
      <c r="B327" s="111"/>
      <c r="C327" s="111"/>
      <c r="D327" s="111"/>
      <c r="E327" s="121"/>
      <c r="F327" s="138"/>
      <c r="G327" s="111"/>
      <c r="H327" s="111"/>
      <c r="I327" s="111"/>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31"/>
      <c r="AT327" s="111"/>
      <c r="AU327" s="111"/>
      <c r="AV327" s="111"/>
    </row>
    <row r="328" spans="1:48" s="110" customFormat="1" ht="14.15" x14ac:dyDescent="0.3">
      <c r="A328" s="182" t="s">
        <v>1048</v>
      </c>
      <c r="B328" s="111"/>
      <c r="C328" s="111"/>
      <c r="D328" s="137" t="s">
        <v>889</v>
      </c>
      <c r="E328" s="121"/>
      <c r="F328" s="138"/>
      <c r="G328" s="111"/>
      <c r="H328" s="111"/>
      <c r="I328" s="111"/>
      <c r="J328" s="126"/>
      <c r="K328" s="193" t="str">
        <f>IF(calculations!AB244&gt;0,"RISK MANAGER'S OPINION ","")</f>
        <v/>
      </c>
      <c r="L328" s="126"/>
      <c r="M328" s="126"/>
      <c r="V328" s="806" t="s">
        <v>1702</v>
      </c>
      <c r="W328" s="807"/>
      <c r="X328" s="807"/>
      <c r="Y328" s="807"/>
      <c r="Z328" s="807"/>
      <c r="AA328" s="807"/>
      <c r="AB328" s="808"/>
      <c r="AL328" s="298" t="str">
        <f>calculations!U197</f>
        <v/>
      </c>
      <c r="AO328" s="126"/>
      <c r="AP328" s="126"/>
      <c r="AT328" s="111"/>
      <c r="AU328" s="111"/>
      <c r="AV328" s="111"/>
    </row>
    <row r="329" spans="1:48" s="110" customFormat="1" ht="12" customHeight="1" x14ac:dyDescent="0.3">
      <c r="A329" s="136"/>
      <c r="B329" s="111"/>
      <c r="C329" s="111"/>
      <c r="D329" s="137"/>
      <c r="E329" s="121"/>
      <c r="F329" s="138"/>
      <c r="G329" s="111"/>
      <c r="H329" s="111"/>
      <c r="I329" s="111"/>
      <c r="J329" s="126"/>
      <c r="K329" s="126"/>
      <c r="L329" s="126"/>
      <c r="M329" s="126"/>
      <c r="N329" s="126"/>
      <c r="O329" s="126"/>
      <c r="P329" s="344" t="str">
        <f>IF(calculations!AH242=1,"","COMPLETE DETAILS FOR GRADE")</f>
        <v/>
      </c>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31"/>
      <c r="AT329" s="111"/>
      <c r="AU329" s="111"/>
      <c r="AV329" s="111"/>
    </row>
    <row r="330" spans="1:48" s="110" customFormat="1" ht="12.75" customHeight="1" x14ac:dyDescent="0.3">
      <c r="A330" s="182" t="s">
        <v>1455</v>
      </c>
      <c r="B330" s="111"/>
      <c r="C330" s="111"/>
      <c r="D330" s="111"/>
      <c r="E330" s="267" t="s">
        <v>890</v>
      </c>
      <c r="F330" s="138"/>
      <c r="G330" s="111"/>
      <c r="H330" s="111"/>
      <c r="I330" s="111"/>
      <c r="J330" s="126"/>
      <c r="K330" s="126"/>
      <c r="L330" s="126"/>
      <c r="M330" s="126"/>
      <c r="N330" s="815"/>
      <c r="O330" s="816"/>
      <c r="P330" s="809" t="s">
        <v>1749</v>
      </c>
      <c r="Q330" s="810"/>
      <c r="R330" s="810"/>
      <c r="S330" s="810"/>
      <c r="U330" s="815">
        <v>0</v>
      </c>
      <c r="V330" s="816"/>
      <c r="W330" s="338" t="s">
        <v>1750</v>
      </c>
      <c r="X330" s="328"/>
      <c r="Y330" s="328"/>
      <c r="Z330" s="328"/>
      <c r="AA330" s="328"/>
      <c r="AB330" s="328"/>
      <c r="AC330" s="328"/>
      <c r="AD330" s="328"/>
      <c r="AE330" s="328"/>
      <c r="AF330" s="328"/>
      <c r="AG330" s="328"/>
      <c r="AH330" s="328"/>
      <c r="AI330" s="328"/>
      <c r="AJ330" s="328"/>
      <c r="AL330" s="815"/>
      <c r="AM330" s="822"/>
      <c r="AN330" s="816"/>
      <c r="AO330" s="147" t="s">
        <v>888</v>
      </c>
      <c r="AS330" s="131"/>
    </row>
    <row r="331" spans="1:48" s="110" customFormat="1" x14ac:dyDescent="0.3">
      <c r="A331" s="182"/>
      <c r="B331" s="111"/>
      <c r="C331" s="111"/>
      <c r="D331" s="111"/>
      <c r="E331" s="268"/>
      <c r="F331" s="138"/>
      <c r="G331" s="111"/>
      <c r="H331" s="111"/>
      <c r="I331" s="111"/>
      <c r="J331" s="199" t="str">
        <f>IF(calculations!AD242&gt;1,"please choose NONE or enter number of owned or non-owned horses above","")</f>
        <v/>
      </c>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31"/>
      <c r="AT331" s="111"/>
      <c r="AU331" s="111"/>
      <c r="AV331" s="111"/>
    </row>
    <row r="332" spans="1:48" s="110" customFormat="1" ht="12.75" customHeight="1" x14ac:dyDescent="0.3">
      <c r="A332" s="182" t="s">
        <v>1456</v>
      </c>
      <c r="B332" s="111"/>
      <c r="C332" s="111"/>
      <c r="D332" s="111"/>
      <c r="E332" s="268"/>
      <c r="M332" s="126"/>
      <c r="N332" s="126"/>
      <c r="O332" s="126"/>
      <c r="P332" s="126"/>
      <c r="Q332" s="126"/>
      <c r="R332" s="126"/>
      <c r="S332" s="126"/>
      <c r="T332" s="126"/>
      <c r="V332" s="272" t="str">
        <f>IF(calculations!AB244&gt;0,"ALL RIDERS (INCLUDING STAFF) WEAR A HELMET ","")</f>
        <v/>
      </c>
      <c r="W332" s="791" t="s">
        <v>678</v>
      </c>
      <c r="X332" s="792"/>
      <c r="Y332" s="793"/>
      <c r="Z332" s="126"/>
      <c r="AC332" s="126"/>
      <c r="AD332" s="126"/>
      <c r="AE332" s="126"/>
      <c r="AF332" s="126"/>
      <c r="AG332" s="126"/>
      <c r="AH332" s="126"/>
      <c r="AI332" s="126"/>
      <c r="AJ332" s="126"/>
      <c r="AK332" s="126"/>
      <c r="AL332" s="126"/>
      <c r="AM332" s="126"/>
      <c r="AN332" s="126"/>
      <c r="AO332" s="329" t="str">
        <f>IF(calculations!AB244&gt;0,"ALL RIDERS WEAR BOOTS &amp; LONG PANTS ","")</f>
        <v/>
      </c>
      <c r="AP332" s="791" t="s">
        <v>678</v>
      </c>
      <c r="AQ332" s="792"/>
      <c r="AR332" s="793"/>
      <c r="AS332" s="131"/>
      <c r="AT332" s="111"/>
      <c r="AU332" s="111"/>
      <c r="AV332" s="111"/>
    </row>
    <row r="333" spans="1:48" s="110" customFormat="1" ht="4.5" customHeight="1" x14ac:dyDescent="0.3">
      <c r="A333" s="182"/>
      <c r="B333" s="111"/>
      <c r="C333" s="111"/>
      <c r="D333" s="111"/>
      <c r="E333" s="268"/>
      <c r="F333" s="145"/>
      <c r="M333" s="126"/>
      <c r="N333" s="126"/>
      <c r="O333" s="126"/>
      <c r="P333" s="126"/>
      <c r="Q333" s="126"/>
      <c r="R333" s="126"/>
      <c r="S333" s="126"/>
      <c r="T333" s="126"/>
      <c r="U333" s="327"/>
      <c r="V333" s="327"/>
      <c r="W333" s="327"/>
      <c r="X333" s="126"/>
      <c r="Z333" s="126"/>
      <c r="AB333" s="330"/>
      <c r="AC333" s="126"/>
      <c r="AD333" s="126"/>
      <c r="AE333" s="126"/>
      <c r="AF333" s="126"/>
      <c r="AG333" s="126"/>
      <c r="AH333" s="126"/>
      <c r="AI333" s="126"/>
      <c r="AJ333" s="126"/>
      <c r="AK333" s="126"/>
      <c r="AL333" s="126"/>
      <c r="AM333" s="126"/>
      <c r="AN333" s="126"/>
      <c r="AP333" s="327"/>
      <c r="AQ333" s="327"/>
      <c r="AR333" s="327"/>
      <c r="AS333" s="131"/>
      <c r="AT333" s="111"/>
      <c r="AU333" s="111"/>
      <c r="AV333" s="111"/>
    </row>
    <row r="334" spans="1:48" s="113" customFormat="1" x14ac:dyDescent="0.3">
      <c r="A334" s="182" t="s">
        <v>1457</v>
      </c>
      <c r="B334" s="136"/>
      <c r="C334" s="136"/>
      <c r="D334" s="136"/>
      <c r="E334" s="269" t="str">
        <f>IF(calculations!AB244&gt;0,"CARE","")</f>
        <v/>
      </c>
      <c r="M334" s="755" t="str">
        <f>IF(calculations!AB244&gt;0,"Who provides farrior and veterinary services? Who administers necessary medications?","")</f>
        <v/>
      </c>
      <c r="N334" s="801"/>
      <c r="O334" s="801"/>
      <c r="P334" s="801"/>
      <c r="Q334" s="801"/>
      <c r="R334" s="801"/>
      <c r="S334" s="801"/>
      <c r="T334" s="801"/>
      <c r="U334" s="801"/>
      <c r="V334" s="801"/>
      <c r="W334" s="801"/>
      <c r="X334" s="801"/>
      <c r="Y334" s="801"/>
      <c r="Z334" s="801"/>
      <c r="AA334" s="801"/>
      <c r="AB334" s="801"/>
      <c r="AC334" s="801"/>
      <c r="AD334" s="801"/>
      <c r="AE334" s="801"/>
      <c r="AF334" s="801"/>
      <c r="AG334" s="801"/>
      <c r="AH334" s="801"/>
      <c r="AI334" s="801"/>
      <c r="AJ334" s="801"/>
      <c r="AK334" s="801"/>
      <c r="AL334" s="801"/>
      <c r="AM334" s="801"/>
      <c r="AN334" s="801"/>
      <c r="AO334" s="801"/>
      <c r="AP334" s="801"/>
      <c r="AQ334" s="801"/>
      <c r="AR334" s="802"/>
      <c r="AS334" s="136"/>
      <c r="AT334" s="136"/>
      <c r="AU334" s="136"/>
      <c r="AV334" s="136"/>
    </row>
    <row r="335" spans="1:48" s="110" customFormat="1" ht="4.5" customHeight="1" x14ac:dyDescent="0.3">
      <c r="A335" s="182"/>
      <c r="B335" s="111"/>
      <c r="C335" s="111"/>
      <c r="D335" s="111"/>
      <c r="E335" s="268"/>
      <c r="F335" s="145"/>
      <c r="M335" s="126"/>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31"/>
      <c r="AT335" s="111"/>
      <c r="AU335" s="111"/>
      <c r="AV335" s="111"/>
    </row>
    <row r="336" spans="1:48" s="110" customFormat="1" ht="12.75" customHeight="1" x14ac:dyDescent="0.3">
      <c r="A336" s="182" t="s">
        <v>1458</v>
      </c>
      <c r="B336" s="111"/>
      <c r="C336" s="111"/>
      <c r="D336" s="111"/>
      <c r="E336" s="268"/>
      <c r="F336" s="241" t="str">
        <f>IF(calculations!AB244&gt;0,"MEDICATIONS ARE KEPT LOCKED, SECURE, AND ACCESSIBLE ONLY TO THOSE WHO ADMINISTER THEM","")</f>
        <v/>
      </c>
      <c r="M336" s="126"/>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P336" s="791" t="s">
        <v>678</v>
      </c>
      <c r="AQ336" s="792"/>
      <c r="AR336" s="793"/>
      <c r="AS336" s="131"/>
      <c r="AT336" s="111"/>
      <c r="AU336" s="111"/>
      <c r="AV336" s="111"/>
    </row>
    <row r="337" spans="1:48" s="110" customFormat="1" ht="4.5" customHeight="1" x14ac:dyDescent="0.3">
      <c r="A337" s="182"/>
      <c r="B337" s="111"/>
      <c r="C337" s="111"/>
      <c r="D337" s="137"/>
      <c r="E337" s="270"/>
      <c r="F337" s="138"/>
      <c r="G337" s="111"/>
      <c r="H337" s="111"/>
      <c r="I337" s="111"/>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31"/>
      <c r="AT337" s="111"/>
      <c r="AU337" s="111"/>
      <c r="AV337" s="111"/>
    </row>
    <row r="338" spans="1:48" s="110" customFormat="1" ht="24.75" customHeight="1" x14ac:dyDescent="0.3">
      <c r="A338" s="182" t="s">
        <v>1459</v>
      </c>
      <c r="B338" s="111"/>
      <c r="C338" s="111"/>
      <c r="D338" s="137"/>
      <c r="E338" s="271" t="str">
        <f>IF(calculations!AB244&gt;0,"DETAILS","")</f>
        <v/>
      </c>
      <c r="G338" s="111"/>
      <c r="H338" s="111"/>
      <c r="I338" s="111"/>
      <c r="K338" s="168"/>
      <c r="L338" s="203"/>
      <c r="M338" s="755" t="str">
        <f>IF(calculations!AB244&gt;0,forms!A212,"")</f>
        <v/>
      </c>
      <c r="N338" s="756"/>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7"/>
      <c r="AS338" s="131"/>
      <c r="AT338" s="111"/>
    </row>
    <row r="339" spans="1:48" s="110" customFormat="1" ht="4.5" customHeight="1" x14ac:dyDescent="0.3">
      <c r="A339" s="136"/>
      <c r="B339" s="111"/>
      <c r="C339" s="111"/>
      <c r="D339" s="137"/>
      <c r="E339" s="121"/>
      <c r="F339" s="138"/>
      <c r="G339" s="111"/>
      <c r="H339" s="111"/>
      <c r="I339" s="111"/>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31"/>
      <c r="AT339" s="111"/>
      <c r="AU339" s="111"/>
      <c r="AV339" s="111"/>
    </row>
    <row r="340" spans="1:48" s="110" customFormat="1" ht="12.75" customHeight="1" x14ac:dyDescent="0.35">
      <c r="A340" s="135"/>
      <c r="B340" s="111"/>
      <c r="C340" s="111"/>
      <c r="D340" s="111"/>
      <c r="E340" s="139"/>
      <c r="F340" s="116" t="str">
        <f>IF(calculations!AB244&gt;0,"COMMENTS","")</f>
        <v/>
      </c>
      <c r="J340" s="755"/>
      <c r="K340" s="756"/>
      <c r="L340" s="756"/>
      <c r="M340" s="756"/>
      <c r="N340" s="756"/>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7"/>
      <c r="AS340" s="131"/>
      <c r="AT340" s="111"/>
      <c r="AU340" s="111"/>
      <c r="AV340" s="111"/>
    </row>
    <row r="341" spans="1:48" s="110" customFormat="1" ht="4.5" customHeight="1" x14ac:dyDescent="0.3">
      <c r="A341" s="136"/>
      <c r="B341" s="111"/>
      <c r="C341" s="111"/>
      <c r="D341" s="137"/>
      <c r="E341" s="121"/>
      <c r="F341" s="138"/>
      <c r="G341" s="111"/>
      <c r="H341" s="111"/>
      <c r="I341" s="111"/>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31"/>
      <c r="AT341" s="111"/>
      <c r="AU341" s="111"/>
      <c r="AV341" s="111"/>
    </row>
    <row r="342" spans="1:48" s="110" customFormat="1" ht="38.25" customHeight="1" x14ac:dyDescent="0.35">
      <c r="A342" s="135"/>
      <c r="B342" s="111"/>
      <c r="C342" s="111"/>
      <c r="D342" s="111"/>
      <c r="E342" s="139"/>
      <c r="F342" s="296" t="str">
        <f>IF(Rec!C189=1,"REC",IF(Rec!C189&gt;1,"RECS",""))</f>
        <v/>
      </c>
      <c r="J342" s="755" t="str">
        <f>IF(Rec!C189&gt;0,Rec!E189,"")</f>
        <v/>
      </c>
      <c r="K342" s="756"/>
      <c r="L342" s="756"/>
      <c r="M342" s="756"/>
      <c r="N342" s="756"/>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7"/>
      <c r="AS342" s="131"/>
      <c r="AT342" s="111"/>
      <c r="AU342" s="111"/>
      <c r="AV342" s="111"/>
    </row>
    <row r="343" spans="1:48" s="110" customFormat="1" ht="12.75" customHeight="1" x14ac:dyDescent="0.3">
      <c r="A343" s="136"/>
      <c r="B343" s="111"/>
      <c r="C343" s="111"/>
      <c r="D343" s="137"/>
      <c r="E343" s="121"/>
      <c r="F343" s="138"/>
      <c r="G343" s="111"/>
      <c r="H343" s="111"/>
      <c r="I343" s="111"/>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31"/>
      <c r="AT343" s="111"/>
      <c r="AU343" s="111"/>
      <c r="AV343" s="111"/>
    </row>
    <row r="344" spans="1:48" s="110" customFormat="1" ht="14.15" x14ac:dyDescent="0.3">
      <c r="A344" s="182" t="s">
        <v>1047</v>
      </c>
      <c r="B344" s="111"/>
      <c r="C344" s="111"/>
      <c r="D344" s="137" t="s">
        <v>887</v>
      </c>
      <c r="E344" s="121"/>
      <c r="F344" s="138"/>
      <c r="G344" s="111"/>
      <c r="H344" s="111"/>
      <c r="I344" s="111"/>
      <c r="J344" s="126"/>
      <c r="K344" s="126"/>
      <c r="L344" s="126"/>
      <c r="M344" s="193" t="b">
        <f>IF(G348&gt;0,IF(calculations!AH249=0,"RISK MANAGER'S SUBJECTIVE OPINION OF RENTAL GROUPS",""))</f>
        <v>0</v>
      </c>
      <c r="N344" s="30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863" t="s">
        <v>1748</v>
      </c>
      <c r="AL344" s="864"/>
      <c r="AM344" s="864"/>
      <c r="AN344" s="864"/>
      <c r="AO344" s="864"/>
      <c r="AP344" s="864"/>
      <c r="AQ344" s="864"/>
      <c r="AR344" s="865"/>
      <c r="AS344" s="131"/>
      <c r="AT344" s="111"/>
      <c r="AU344" s="111"/>
      <c r="AV344" s="111"/>
    </row>
    <row r="345" spans="1:48" s="110" customFormat="1" ht="4.5" customHeight="1" x14ac:dyDescent="0.3">
      <c r="A345" s="182"/>
      <c r="B345" s="111"/>
      <c r="C345" s="111"/>
      <c r="D345" s="137"/>
      <c r="E345" s="121"/>
      <c r="F345" s="138"/>
      <c r="G345" s="111"/>
      <c r="H345" s="111"/>
      <c r="I345" s="111"/>
      <c r="J345" s="126"/>
      <c r="K345" s="126"/>
      <c r="L345" s="126"/>
      <c r="M345" s="126"/>
      <c r="N345" s="331"/>
      <c r="P345" s="192"/>
      <c r="Q345" s="126"/>
      <c r="R345" s="126"/>
      <c r="S345" s="126"/>
      <c r="T345" s="126"/>
      <c r="U345" s="126"/>
      <c r="V345" s="126"/>
      <c r="W345" s="126"/>
      <c r="X345" s="126"/>
      <c r="Y345" s="126"/>
      <c r="Z345" s="126"/>
      <c r="AA345" s="126"/>
      <c r="AB345" s="126"/>
      <c r="AC345" s="126"/>
      <c r="AD345" s="126"/>
      <c r="AE345" s="126"/>
      <c r="AF345" s="126"/>
      <c r="AG345" s="126"/>
      <c r="AH345" s="126"/>
      <c r="AI345" s="126"/>
      <c r="AJ345" s="126"/>
      <c r="AL345" s="305"/>
      <c r="AM345" s="305"/>
      <c r="AN345" s="305"/>
      <c r="AO345" s="305"/>
      <c r="AP345" s="305"/>
      <c r="AQ345" s="305"/>
      <c r="AR345" s="305"/>
      <c r="AS345" s="131"/>
      <c r="AT345" s="111"/>
      <c r="AU345" s="111"/>
      <c r="AV345" s="111"/>
    </row>
    <row r="346" spans="1:48" s="110" customFormat="1" ht="12.75" customHeight="1" x14ac:dyDescent="0.3">
      <c r="A346" s="182"/>
      <c r="B346" s="111"/>
      <c r="C346" s="111"/>
      <c r="D346" s="137"/>
      <c r="E346" s="331" t="str">
        <f>IF(O52="no",IF(O54="no","NONE",""),"")</f>
        <v/>
      </c>
      <c r="F346" s="138"/>
      <c r="G346" s="111"/>
      <c r="H346" s="111"/>
      <c r="I346" s="111"/>
      <c r="J346" s="126"/>
      <c r="K346" s="126"/>
      <c r="L346" s="126"/>
      <c r="M346" s="126"/>
      <c r="N346" s="331"/>
      <c r="P346" s="344" t="str">
        <f>IF(calculations!AH249=0,"","COMPLETE DETAILS FOR GRADE")</f>
        <v/>
      </c>
      <c r="Q346" s="126"/>
      <c r="R346" s="126"/>
      <c r="S346" s="126"/>
      <c r="T346" s="126"/>
      <c r="U346" s="126"/>
      <c r="V346" s="126"/>
      <c r="W346" s="126"/>
      <c r="X346" s="126"/>
      <c r="Y346" s="126"/>
      <c r="Z346" s="126"/>
      <c r="AA346" s="126"/>
      <c r="AB346" s="126"/>
      <c r="AC346" s="126"/>
      <c r="AD346" s="126"/>
      <c r="AE346" s="126"/>
      <c r="AF346" s="126"/>
      <c r="AG346" s="126"/>
      <c r="AH346" s="126"/>
      <c r="AI346" s="126"/>
      <c r="AJ346" s="126"/>
      <c r="AL346" s="305"/>
      <c r="AM346" s="305"/>
      <c r="AN346" s="305"/>
      <c r="AO346" s="305"/>
      <c r="AP346" s="305"/>
      <c r="AQ346" s="305"/>
      <c r="AR346" s="305"/>
      <c r="AS346" s="131"/>
      <c r="AT346" s="111"/>
      <c r="AU346" s="111"/>
      <c r="AV346" s="111"/>
    </row>
    <row r="347" spans="1:48" s="110" customFormat="1" ht="4.5" customHeight="1" x14ac:dyDescent="0.3">
      <c r="A347" s="182"/>
      <c r="B347" s="111"/>
      <c r="C347" s="111"/>
      <c r="D347" s="137"/>
      <c r="E347" s="121"/>
      <c r="F347" s="138"/>
      <c r="G347" s="111"/>
      <c r="H347" s="111"/>
      <c r="I347" s="111"/>
      <c r="J347" s="126"/>
      <c r="K347" s="126"/>
      <c r="L347" s="126"/>
      <c r="M347" s="126"/>
      <c r="N347" s="331"/>
      <c r="R347" s="332"/>
      <c r="S347" s="111"/>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257"/>
      <c r="AP347" s="333"/>
      <c r="AQ347" s="333"/>
      <c r="AR347" s="333"/>
      <c r="AS347" s="131"/>
      <c r="AT347" s="111"/>
      <c r="AU347" s="111"/>
      <c r="AV347" s="111"/>
    </row>
    <row r="348" spans="1:48" s="110" customFormat="1" ht="12.75" customHeight="1" x14ac:dyDescent="0.3">
      <c r="A348" s="182"/>
      <c r="B348" s="111"/>
      <c r="C348" s="111"/>
      <c r="D348" s="137"/>
      <c r="E348" s="346">
        <f>IF(O52="yes",1,0)</f>
        <v>0</v>
      </c>
      <c r="F348" s="346">
        <f>IF(O54="yes",2,0)</f>
        <v>0</v>
      </c>
      <c r="G348" s="347">
        <f>E348+F348</f>
        <v>0</v>
      </c>
      <c r="H348" s="111"/>
      <c r="I348" s="111"/>
      <c r="J348" s="126"/>
      <c r="K348" s="126"/>
      <c r="L348" s="126"/>
      <c r="M348" s="126"/>
      <c r="N348" s="331"/>
      <c r="R348" s="332"/>
      <c r="S348" s="111"/>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257" t="str">
        <f>IF(E346="NONE","","Copies of contracts and other group-required materials were obtained ")</f>
        <v xml:space="preserve">Copies of contracts and other group-required materials were obtained </v>
      </c>
      <c r="AP348" s="803" t="s">
        <v>678</v>
      </c>
      <c r="AQ348" s="804"/>
      <c r="AR348" s="805"/>
      <c r="AS348" s="131"/>
      <c r="AT348" s="111"/>
      <c r="AU348" s="111"/>
      <c r="AV348" s="111"/>
    </row>
    <row r="349" spans="1:48" s="110" customFormat="1" ht="6" customHeight="1" x14ac:dyDescent="0.3">
      <c r="A349" s="136"/>
      <c r="B349" s="111"/>
      <c r="C349" s="111"/>
      <c r="D349" s="137"/>
      <c r="E349" s="121"/>
      <c r="F349" s="138"/>
      <c r="G349" s="111"/>
      <c r="H349" s="111"/>
      <c r="I349" s="111"/>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31"/>
      <c r="AT349" s="111"/>
      <c r="AU349" s="111"/>
      <c r="AV349" s="111"/>
    </row>
    <row r="350" spans="1:48" s="110" customFormat="1" ht="49.5" customHeight="1" x14ac:dyDescent="0.3">
      <c r="A350" s="182" t="s">
        <v>1320</v>
      </c>
      <c r="B350" s="111"/>
      <c r="C350" s="111"/>
      <c r="D350" s="111"/>
      <c r="E350" s="267" t="str">
        <f>IF(G348&gt;0,"TYPE","")</f>
        <v/>
      </c>
      <c r="F350" s="138"/>
      <c r="G350" s="111"/>
      <c r="H350" s="111"/>
      <c r="I350" s="111"/>
      <c r="J350" s="315"/>
      <c r="K350" s="315"/>
      <c r="L350" s="315"/>
      <c r="M350" s="755" t="str">
        <f>IF(G348=3,CONCATENATE("User Groups: ",R52,"
Special Needs Groups: ",R54),IF(G348=1,CONCATENATE("User Groups: ",R52),IF(G348=2,CONCATENATE("Special Needs Groups: ",R54),"")))</f>
        <v/>
      </c>
      <c r="N350" s="756"/>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7"/>
      <c r="AS350" s="131"/>
      <c r="AT350" s="111"/>
      <c r="AU350" s="111"/>
      <c r="AV350" s="111"/>
    </row>
    <row r="351" spans="1:48" s="110" customFormat="1" ht="4.5" customHeight="1" x14ac:dyDescent="0.3">
      <c r="A351" s="182"/>
      <c r="B351" s="111"/>
      <c r="C351" s="111"/>
      <c r="E351" s="268"/>
      <c r="F351" s="138"/>
      <c r="G351" s="111"/>
      <c r="H351" s="111"/>
      <c r="I351" s="111"/>
      <c r="J351" s="315"/>
      <c r="K351" s="315"/>
      <c r="L351" s="315"/>
      <c r="M351" s="315"/>
      <c r="N351" s="315"/>
      <c r="O351" s="315"/>
      <c r="P351" s="315"/>
      <c r="Q351" s="315"/>
      <c r="R351" s="315"/>
      <c r="S351" s="315"/>
      <c r="T351" s="315"/>
      <c r="U351" s="315"/>
      <c r="V351" s="315"/>
      <c r="W351" s="315"/>
      <c r="X351" s="315"/>
      <c r="Y351" s="315"/>
      <c r="Z351" s="315"/>
      <c r="AA351" s="315"/>
      <c r="AB351" s="315"/>
      <c r="AC351" s="315"/>
      <c r="AD351" s="315"/>
      <c r="AE351" s="315"/>
      <c r="AF351" s="315"/>
      <c r="AG351" s="315"/>
      <c r="AH351" s="315"/>
      <c r="AI351" s="315"/>
      <c r="AJ351" s="315"/>
      <c r="AK351" s="315"/>
      <c r="AL351" s="315"/>
      <c r="AM351" s="315"/>
      <c r="AN351" s="315"/>
      <c r="AO351" s="315"/>
      <c r="AP351" s="315"/>
      <c r="AQ351" s="315"/>
      <c r="AR351" s="315"/>
      <c r="AS351" s="131"/>
      <c r="AT351" s="111"/>
      <c r="AU351" s="111"/>
      <c r="AV351" s="111"/>
    </row>
    <row r="352" spans="1:48" s="110" customFormat="1" ht="12.75" customHeight="1" x14ac:dyDescent="0.3">
      <c r="A352" s="182" t="s">
        <v>1321</v>
      </c>
      <c r="B352" s="111"/>
      <c r="C352" s="111"/>
      <c r="D352" s="111"/>
      <c r="E352" s="267" t="str">
        <f>IF(E350="TYPE","FREQUENCY","")</f>
        <v/>
      </c>
      <c r="F352" s="138"/>
      <c r="G352" s="111"/>
      <c r="H352" s="111"/>
      <c r="I352" s="111"/>
      <c r="J352" s="315"/>
      <c r="K352" s="315"/>
      <c r="L352" s="315"/>
      <c r="M352" s="755" t="str">
        <f>IF(G348&gt;0,"For the various types explain how often, e.g., weekly, twice annually, etc.","")</f>
        <v/>
      </c>
      <c r="N352" s="756"/>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7"/>
      <c r="AS352" s="131"/>
      <c r="AT352" s="111"/>
      <c r="AU352" s="111"/>
      <c r="AV352" s="111"/>
    </row>
    <row r="353" spans="1:48" s="110" customFormat="1" ht="4.5" customHeight="1" x14ac:dyDescent="0.3">
      <c r="A353" s="182"/>
      <c r="B353" s="111"/>
      <c r="C353" s="111"/>
      <c r="D353" s="111"/>
      <c r="E353" s="268"/>
      <c r="F353" s="138"/>
      <c r="G353" s="111"/>
      <c r="H353" s="111"/>
      <c r="I353" s="111"/>
      <c r="J353" s="315"/>
      <c r="K353" s="315"/>
      <c r="L353" s="315"/>
      <c r="M353" s="315"/>
      <c r="N353" s="315"/>
      <c r="O353" s="315"/>
      <c r="P353" s="315"/>
      <c r="Q353" s="315"/>
      <c r="R353" s="315"/>
      <c r="S353" s="315"/>
      <c r="T353" s="315"/>
      <c r="U353" s="315"/>
      <c r="V353" s="315"/>
      <c r="W353" s="315"/>
      <c r="X353" s="315"/>
      <c r="Y353" s="315"/>
      <c r="Z353" s="315"/>
      <c r="AA353" s="315"/>
      <c r="AB353" s="315"/>
      <c r="AC353" s="315"/>
      <c r="AD353" s="315"/>
      <c r="AE353" s="315"/>
      <c r="AF353" s="315"/>
      <c r="AG353" s="315"/>
      <c r="AH353" s="315"/>
      <c r="AI353" s="315"/>
      <c r="AJ353" s="315"/>
      <c r="AK353" s="315"/>
      <c r="AL353" s="315"/>
      <c r="AM353" s="315"/>
      <c r="AN353" s="315"/>
      <c r="AO353" s="315"/>
      <c r="AP353" s="315"/>
      <c r="AQ353" s="315"/>
      <c r="AR353" s="315"/>
      <c r="AS353" s="131"/>
      <c r="AT353" s="111"/>
      <c r="AU353" s="111"/>
      <c r="AV353" s="111"/>
    </row>
    <row r="354" spans="1:48" s="110" customFormat="1" ht="12.75" customHeight="1" x14ac:dyDescent="0.3">
      <c r="A354" s="182" t="s">
        <v>1322</v>
      </c>
      <c r="B354" s="111"/>
      <c r="C354" s="111"/>
      <c r="D354" s="111"/>
      <c r="E354" s="267" t="str">
        <f>IF(E350="TYPE","DURATION","")</f>
        <v/>
      </c>
      <c r="F354" s="138"/>
      <c r="G354" s="111"/>
      <c r="H354" s="111"/>
      <c r="I354" s="111"/>
      <c r="J354" s="315"/>
      <c r="K354" s="315"/>
      <c r="L354" s="315"/>
      <c r="M354" s="755" t="str">
        <f>IF(G348&gt;0,"For the various types explain how long, e.g., semester, week-end, etc.","")</f>
        <v/>
      </c>
      <c r="N354" s="756"/>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7"/>
      <c r="AS354" s="131"/>
      <c r="AT354" s="111"/>
      <c r="AU354" s="111"/>
      <c r="AV354" s="111"/>
    </row>
    <row r="355" spans="1:48" s="110" customFormat="1" ht="4.5" customHeight="1" x14ac:dyDescent="0.3">
      <c r="A355" s="182"/>
      <c r="B355" s="111"/>
      <c r="C355" s="111"/>
      <c r="D355" s="111"/>
      <c r="E355" s="268"/>
      <c r="F355" s="138"/>
      <c r="G355" s="111"/>
      <c r="H355" s="111"/>
      <c r="I355" s="111"/>
      <c r="J355" s="315"/>
      <c r="K355" s="315"/>
      <c r="L355" s="315"/>
      <c r="M355" s="315"/>
      <c r="N355" s="315"/>
      <c r="O355" s="315"/>
      <c r="P355" s="315"/>
      <c r="Q355" s="315"/>
      <c r="R355" s="315"/>
      <c r="S355" s="315"/>
      <c r="T355" s="315"/>
      <c r="U355" s="315"/>
      <c r="V355" s="315"/>
      <c r="W355" s="315"/>
      <c r="X355" s="315"/>
      <c r="Y355" s="315"/>
      <c r="Z355" s="315"/>
      <c r="AA355" s="315"/>
      <c r="AB355" s="315"/>
      <c r="AC355" s="315"/>
      <c r="AD355" s="315"/>
      <c r="AE355" s="315"/>
      <c r="AF355" s="315"/>
      <c r="AG355" s="315"/>
      <c r="AH355" s="315"/>
      <c r="AI355" s="315"/>
      <c r="AJ355" s="315"/>
      <c r="AK355" s="315"/>
      <c r="AL355" s="315"/>
      <c r="AM355" s="315"/>
      <c r="AN355" s="315"/>
      <c r="AO355" s="315"/>
      <c r="AP355" s="315"/>
      <c r="AQ355" s="315"/>
      <c r="AR355" s="315"/>
      <c r="AS355" s="131"/>
      <c r="AT355" s="111"/>
      <c r="AU355" s="111"/>
      <c r="AV355" s="111"/>
    </row>
    <row r="356" spans="1:48" s="110" customFormat="1" ht="24.75" customHeight="1" x14ac:dyDescent="0.3">
      <c r="A356" s="182" t="s">
        <v>1323</v>
      </c>
      <c r="B356" s="111"/>
      <c r="C356" s="111"/>
      <c r="D356" s="111"/>
      <c r="E356" s="267" t="str">
        <f>IF(E350="TYPE","BASICS","")</f>
        <v/>
      </c>
      <c r="F356" s="138"/>
      <c r="G356" s="111"/>
      <c r="H356" s="111"/>
      <c r="I356" s="111"/>
      <c r="J356" s="315"/>
      <c r="K356" s="315"/>
      <c r="L356" s="315"/>
      <c r="M356" s="755" t="str">
        <f>IF(G348&gt;0,"Explain how orientation is provided to groups, how EAP communications are initiated and who is responsible for carrying out the EAP , etc.","")</f>
        <v/>
      </c>
      <c r="N356" s="756"/>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7"/>
      <c r="AS356" s="131"/>
      <c r="AT356" s="111"/>
      <c r="AU356" s="111"/>
      <c r="AV356" s="111"/>
    </row>
    <row r="357" spans="1:48" s="110" customFormat="1" ht="4.5" customHeight="1" x14ac:dyDescent="0.3">
      <c r="A357" s="182"/>
      <c r="B357" s="111"/>
      <c r="C357" s="111"/>
      <c r="D357" s="111"/>
      <c r="E357" s="268"/>
      <c r="F357" s="138"/>
      <c r="G357" s="111"/>
      <c r="H357" s="111"/>
      <c r="I357" s="111"/>
      <c r="J357" s="315"/>
      <c r="K357" s="315"/>
      <c r="L357" s="315"/>
      <c r="M357" s="315"/>
      <c r="N357" s="315"/>
      <c r="O357" s="315"/>
      <c r="P357" s="315"/>
      <c r="Q357" s="315"/>
      <c r="R357" s="315"/>
      <c r="S357" s="315"/>
      <c r="T357" s="315"/>
      <c r="U357" s="315"/>
      <c r="V357" s="315"/>
      <c r="W357" s="315"/>
      <c r="X357" s="315"/>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131"/>
      <c r="AT357" s="111"/>
      <c r="AU357" s="111"/>
      <c r="AV357" s="111"/>
    </row>
    <row r="358" spans="1:48" s="110" customFormat="1" ht="25.5" customHeight="1" x14ac:dyDescent="0.3">
      <c r="A358" s="182" t="s">
        <v>1324</v>
      </c>
      <c r="B358" s="111"/>
      <c r="C358" s="111"/>
      <c r="D358" s="111"/>
      <c r="E358" s="267" t="str">
        <f>IF(E350="TYPE","PROGRAMMING","")</f>
        <v/>
      </c>
      <c r="F358" s="138"/>
      <c r="G358" s="111"/>
      <c r="H358" s="111"/>
      <c r="I358" s="111"/>
      <c r="J358" s="315"/>
      <c r="K358" s="315"/>
      <c r="L358" s="315"/>
      <c r="M358" s="755" t="str">
        <f>IF(G348&gt;0,"For the various groups explain the programming provided by the camp, e.g., full camp access, all but aquatics, only challenge course, no food, etc.","")</f>
        <v/>
      </c>
      <c r="N358" s="756"/>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7"/>
      <c r="AS358" s="131"/>
      <c r="AT358" s="111"/>
      <c r="AU358" s="111"/>
      <c r="AV358" s="111"/>
    </row>
    <row r="359" spans="1:48" s="110" customFormat="1" ht="3.75" customHeight="1" x14ac:dyDescent="0.3">
      <c r="A359" s="182"/>
      <c r="B359" s="111"/>
      <c r="C359" s="111"/>
      <c r="D359" s="111"/>
      <c r="E359" s="268"/>
      <c r="F359" s="138"/>
      <c r="G359" s="111"/>
      <c r="H359" s="111"/>
      <c r="I359" s="111"/>
      <c r="J359" s="315"/>
      <c r="K359" s="315"/>
      <c r="L359" s="315"/>
      <c r="M359" s="315"/>
      <c r="N359" s="315"/>
      <c r="O359" s="315"/>
      <c r="P359" s="315"/>
      <c r="Q359" s="315"/>
      <c r="R359" s="315"/>
      <c r="S359" s="315"/>
      <c r="T359" s="315"/>
      <c r="U359" s="315"/>
      <c r="V359" s="315"/>
      <c r="W359" s="315"/>
      <c r="X359" s="315"/>
      <c r="Y359" s="315"/>
      <c r="Z359" s="315"/>
      <c r="AA359" s="315"/>
      <c r="AB359" s="315"/>
      <c r="AC359" s="315"/>
      <c r="AD359" s="315"/>
      <c r="AE359" s="315"/>
      <c r="AF359" s="315"/>
      <c r="AG359" s="315"/>
      <c r="AH359" s="315"/>
      <c r="AI359" s="315"/>
      <c r="AJ359" s="315"/>
      <c r="AK359" s="315"/>
      <c r="AL359" s="315"/>
      <c r="AM359" s="315"/>
      <c r="AN359" s="315"/>
      <c r="AO359" s="315"/>
      <c r="AP359" s="315"/>
      <c r="AQ359" s="315"/>
      <c r="AR359" s="315"/>
      <c r="AS359" s="131"/>
      <c r="AT359" s="111"/>
      <c r="AU359" s="111"/>
      <c r="AV359" s="111"/>
    </row>
    <row r="360" spans="1:48" s="110" customFormat="1" ht="62.25" customHeight="1" x14ac:dyDescent="0.3">
      <c r="A360" s="182" t="s">
        <v>1673</v>
      </c>
      <c r="B360" s="111"/>
      <c r="C360" s="111"/>
      <c r="D360" s="111"/>
      <c r="E360" s="267" t="str">
        <f>IF(E350="TYPE","RESPONSIBILITY","")</f>
        <v/>
      </c>
      <c r="F360" s="138"/>
      <c r="G360" s="111"/>
      <c r="H360" s="111"/>
      <c r="I360" s="111"/>
      <c r="J360" s="315"/>
      <c r="K360" s="315"/>
      <c r="L360" s="315"/>
      <c r="M360" s="755" t="str">
        <f>IF(G348&gt;0,forms!A213,"")</f>
        <v/>
      </c>
      <c r="N360" s="756"/>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7"/>
      <c r="AS360" s="131"/>
      <c r="AT360" s="111"/>
      <c r="AU360" s="111"/>
      <c r="AV360" s="111"/>
    </row>
    <row r="361" spans="1:48" s="110" customFormat="1" ht="4.5" customHeight="1" x14ac:dyDescent="0.3">
      <c r="A361" s="182"/>
      <c r="B361" s="111"/>
      <c r="C361" s="111"/>
      <c r="D361" s="111"/>
      <c r="E361" s="268"/>
      <c r="F361" s="138"/>
      <c r="G361" s="111"/>
      <c r="H361" s="111"/>
      <c r="I361" s="111"/>
      <c r="J361" s="315"/>
      <c r="K361" s="315"/>
      <c r="L361" s="315"/>
      <c r="M361" s="315"/>
      <c r="N361" s="315"/>
      <c r="O361" s="315"/>
      <c r="P361" s="315"/>
      <c r="Q361" s="315"/>
      <c r="R361" s="315"/>
      <c r="S361" s="315"/>
      <c r="T361" s="315"/>
      <c r="U361" s="315"/>
      <c r="V361" s="315"/>
      <c r="W361" s="315"/>
      <c r="X361" s="315"/>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131"/>
      <c r="AT361" s="111"/>
      <c r="AU361" s="111"/>
      <c r="AV361" s="111"/>
    </row>
    <row r="362" spans="1:48" s="110" customFormat="1" x14ac:dyDescent="0.3">
      <c r="A362" s="182" t="s">
        <v>1674</v>
      </c>
      <c r="B362" s="111"/>
      <c r="C362" s="111"/>
      <c r="D362" s="111"/>
      <c r="E362" s="267" t="str">
        <f>IF(E350="TYPE","FOOD SERVICE","")</f>
        <v/>
      </c>
      <c r="F362" s="138"/>
      <c r="G362" s="111"/>
      <c r="H362" s="111"/>
      <c r="I362" s="111"/>
      <c r="J362" s="315"/>
      <c r="K362" s="315"/>
      <c r="L362" s="315"/>
      <c r="M362" s="761" t="s">
        <v>678</v>
      </c>
      <c r="N362" s="762"/>
      <c r="O362" s="762"/>
      <c r="P362" s="762"/>
      <c r="Q362" s="762"/>
      <c r="R362" s="762"/>
      <c r="S362" s="762"/>
      <c r="T362" s="762"/>
      <c r="U362" s="762"/>
      <c r="V362" s="762"/>
      <c r="W362" s="762"/>
      <c r="X362" s="763"/>
      <c r="Y362" s="315"/>
      <c r="Z362" s="315"/>
      <c r="AA362" s="315"/>
      <c r="AB362" s="315"/>
      <c r="AC362" s="315"/>
      <c r="AD362" s="315"/>
      <c r="AE362" s="315"/>
      <c r="AF362" s="315"/>
      <c r="AG362" s="315"/>
      <c r="AH362" s="315"/>
      <c r="AI362" s="315"/>
      <c r="AJ362" s="315"/>
      <c r="AK362" s="315"/>
      <c r="AL362" s="315"/>
      <c r="AM362" s="315"/>
      <c r="AN362" s="315"/>
      <c r="AO362" s="315"/>
      <c r="AP362" s="315"/>
      <c r="AQ362" s="315"/>
      <c r="AR362" s="315"/>
      <c r="AS362" s="131"/>
      <c r="AT362" s="111"/>
      <c r="AU362" s="111"/>
      <c r="AV362" s="111"/>
    </row>
    <row r="363" spans="1:48" s="110" customFormat="1" ht="4.5" customHeight="1" x14ac:dyDescent="0.3">
      <c r="A363" s="136"/>
      <c r="B363" s="111"/>
      <c r="C363" s="111"/>
      <c r="D363" s="111"/>
      <c r="E363" s="140"/>
      <c r="F363" s="138"/>
      <c r="G363" s="111"/>
      <c r="H363" s="111"/>
      <c r="I363" s="111"/>
      <c r="J363" s="315"/>
      <c r="K363" s="315"/>
      <c r="L363" s="315"/>
      <c r="M363" s="249"/>
      <c r="N363" s="249"/>
      <c r="O363" s="249"/>
      <c r="P363" s="249"/>
      <c r="Q363" s="249"/>
      <c r="R363" s="249"/>
      <c r="S363" s="249"/>
      <c r="T363" s="249"/>
      <c r="U363" s="249"/>
      <c r="V363" s="249"/>
      <c r="W363" s="249"/>
      <c r="X363" s="249"/>
      <c r="Y363" s="315"/>
      <c r="Z363" s="315"/>
      <c r="AA363" s="315"/>
      <c r="AB363" s="315"/>
      <c r="AC363" s="315"/>
      <c r="AD363" s="315"/>
      <c r="AE363" s="315"/>
      <c r="AF363" s="315"/>
      <c r="AG363" s="315"/>
      <c r="AH363" s="315"/>
      <c r="AI363" s="315"/>
      <c r="AJ363" s="315"/>
      <c r="AK363" s="315"/>
      <c r="AL363" s="315"/>
      <c r="AM363" s="315"/>
      <c r="AN363" s="315"/>
      <c r="AO363" s="315"/>
      <c r="AP363" s="315"/>
      <c r="AQ363" s="315"/>
      <c r="AR363" s="315"/>
      <c r="AS363" s="131"/>
      <c r="AT363" s="111"/>
      <c r="AU363" s="111"/>
      <c r="AV363" s="111"/>
    </row>
    <row r="364" spans="1:48" s="110" customFormat="1" ht="12.75" customHeight="1" x14ac:dyDescent="0.35">
      <c r="A364" s="135"/>
      <c r="B364" s="111"/>
      <c r="C364" s="111"/>
      <c r="D364" s="111"/>
      <c r="E364" s="139"/>
      <c r="F364" s="116" t="str">
        <f>IF(E346="NONE","","COMMENTS")</f>
        <v>COMMENTS</v>
      </c>
      <c r="J364" s="755" t="str">
        <f>IF(LEFT(M362,1)="g","Provide details of food service by others; if deficient, enter recommendation in box at line 3.7.8.","")</f>
        <v/>
      </c>
      <c r="K364" s="756"/>
      <c r="L364" s="756"/>
      <c r="M364" s="756"/>
      <c r="N364" s="756"/>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7"/>
      <c r="AS364" s="131"/>
      <c r="AT364" s="111"/>
      <c r="AU364" s="111"/>
      <c r="AV364" s="111"/>
    </row>
    <row r="365" spans="1:48" s="110" customFormat="1" ht="4.5" customHeight="1" x14ac:dyDescent="0.3">
      <c r="A365" s="136"/>
      <c r="B365" s="111"/>
      <c r="C365" s="111"/>
      <c r="D365" s="111"/>
      <c r="E365" s="121"/>
      <c r="F365" s="138"/>
      <c r="G365" s="111"/>
      <c r="H365" s="111"/>
      <c r="I365" s="111"/>
      <c r="J365" s="315"/>
      <c r="K365" s="315"/>
      <c r="L365" s="315"/>
      <c r="M365" s="315"/>
      <c r="N365" s="315"/>
      <c r="O365" s="315"/>
      <c r="P365" s="315"/>
      <c r="Q365" s="315"/>
      <c r="R365" s="315"/>
      <c r="S365" s="315"/>
      <c r="T365" s="315"/>
      <c r="U365" s="315"/>
      <c r="V365" s="315"/>
      <c r="W365" s="315"/>
      <c r="X365" s="315"/>
      <c r="Y365" s="315"/>
      <c r="Z365" s="315"/>
      <c r="AA365" s="315"/>
      <c r="AB365" s="315"/>
      <c r="AC365" s="315"/>
      <c r="AD365" s="315"/>
      <c r="AE365" s="315"/>
      <c r="AF365" s="315"/>
      <c r="AG365" s="315"/>
      <c r="AH365" s="315"/>
      <c r="AI365" s="315"/>
      <c r="AJ365" s="315"/>
      <c r="AK365" s="315"/>
      <c r="AL365" s="315"/>
      <c r="AM365" s="315"/>
      <c r="AN365" s="315"/>
      <c r="AO365" s="315"/>
      <c r="AP365" s="315"/>
      <c r="AQ365" s="315"/>
      <c r="AR365" s="315"/>
      <c r="AS365" s="131"/>
      <c r="AT365" s="111"/>
      <c r="AU365" s="111"/>
      <c r="AV365" s="111"/>
    </row>
    <row r="366" spans="1:48" x14ac:dyDescent="0.3">
      <c r="A366" s="182" t="s">
        <v>1675</v>
      </c>
      <c r="F366" s="114" t="str">
        <f>IF(J366&gt;"","RECS","")</f>
        <v/>
      </c>
      <c r="J366" s="755"/>
      <c r="K366" s="756"/>
      <c r="L366" s="756"/>
      <c r="M366" s="756"/>
      <c r="N366" s="756"/>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7"/>
    </row>
    <row r="367" spans="1:48" s="110" customFormat="1" ht="12.75" customHeight="1" x14ac:dyDescent="0.3">
      <c r="A367" s="136"/>
      <c r="B367" s="111"/>
      <c r="C367" s="111"/>
      <c r="D367" s="111"/>
      <c r="E367" s="121"/>
      <c r="F367" s="138"/>
      <c r="G367" s="111"/>
      <c r="H367" s="111"/>
      <c r="I367" s="111"/>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31"/>
      <c r="AT367" s="111"/>
      <c r="AU367" s="111"/>
      <c r="AV367" s="111"/>
    </row>
    <row r="368" spans="1:48" s="110" customFormat="1" ht="12.75" customHeight="1" x14ac:dyDescent="0.3">
      <c r="A368" s="136"/>
      <c r="B368" s="111"/>
      <c r="C368" s="111"/>
      <c r="D368" s="111"/>
      <c r="E368" s="121"/>
      <c r="F368" s="138"/>
      <c r="G368" s="111"/>
      <c r="H368" s="111"/>
      <c r="I368" s="111"/>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31"/>
      <c r="AT368" s="111"/>
      <c r="AU368" s="111"/>
      <c r="AV368" s="111"/>
    </row>
    <row r="369" spans="1:48" s="110" customFormat="1" ht="26.25" customHeight="1" x14ac:dyDescent="0.6">
      <c r="A369" s="782" t="s">
        <v>1377</v>
      </c>
      <c r="B369" s="782"/>
      <c r="C369" s="782"/>
      <c r="D369" s="782"/>
      <c r="E369" s="782"/>
      <c r="F369" s="782"/>
      <c r="G369" s="782"/>
      <c r="H369" s="782"/>
      <c r="I369" s="782"/>
      <c r="J369" s="782"/>
      <c r="K369" s="782"/>
      <c r="L369" s="782"/>
      <c r="M369" s="782"/>
      <c r="N369" s="782"/>
      <c r="O369" s="782"/>
      <c r="P369" s="782"/>
      <c r="Q369" s="782"/>
      <c r="R369" s="782"/>
      <c r="S369" s="782"/>
      <c r="T369" s="782"/>
      <c r="U369" s="782"/>
      <c r="V369" s="782"/>
      <c r="W369" s="782"/>
      <c r="X369" s="782"/>
      <c r="Y369" s="782"/>
      <c r="Z369" s="782"/>
      <c r="AA369" s="782"/>
      <c r="AB369" s="782"/>
      <c r="AC369" s="782"/>
      <c r="AD369" s="782"/>
      <c r="AE369" s="782"/>
      <c r="AF369" s="782"/>
      <c r="AG369" s="782"/>
      <c r="AH369" s="782"/>
      <c r="AI369" s="782"/>
      <c r="AJ369" s="782"/>
      <c r="AK369" s="782"/>
      <c r="AL369" s="782"/>
      <c r="AM369" s="782"/>
      <c r="AN369" s="782"/>
      <c r="AO369" s="782"/>
      <c r="AP369" s="782"/>
      <c r="AQ369" s="782"/>
      <c r="AR369" s="782"/>
      <c r="AS369" s="131"/>
      <c r="AT369" s="111"/>
      <c r="AU369" s="111"/>
      <c r="AV369" s="111"/>
    </row>
    <row r="370" spans="1:48" s="110" customFormat="1" ht="12.75" customHeight="1" x14ac:dyDescent="0.3">
      <c r="A370"/>
      <c r="B370"/>
      <c r="C370"/>
      <c r="D370"/>
      <c r="E370"/>
      <c r="F370"/>
      <c r="G370"/>
      <c r="H370"/>
      <c r="I370"/>
      <c r="J370"/>
      <c r="K370"/>
      <c r="L370"/>
      <c r="M370"/>
      <c r="N370"/>
      <c r="O370"/>
      <c r="P370"/>
      <c r="Q370"/>
      <c r="R370"/>
      <c r="S370"/>
      <c r="T370"/>
      <c r="U370"/>
      <c r="V370"/>
      <c r="W370"/>
      <c r="X370"/>
      <c r="Y370"/>
      <c r="Z370"/>
      <c r="AA370"/>
      <c r="AB370"/>
      <c r="AC370" s="691" t="s">
        <v>693</v>
      </c>
      <c r="AD370" s="692"/>
      <c r="AE370" s="692"/>
      <c r="AF370" s="692"/>
      <c r="AG370" s="692"/>
      <c r="AH370" s="693"/>
      <c r="AI370"/>
      <c r="AJ370" s="691" t="s">
        <v>694</v>
      </c>
      <c r="AK370" s="692"/>
      <c r="AL370" s="692"/>
      <c r="AM370" s="692"/>
      <c r="AN370" s="692"/>
      <c r="AO370" s="692"/>
      <c r="AP370" s="692"/>
      <c r="AQ370" s="692"/>
      <c r="AR370" s="693"/>
      <c r="AS370" s="131"/>
      <c r="AT370" s="111"/>
      <c r="AU370" s="111"/>
      <c r="AV370" s="111"/>
    </row>
    <row r="371" spans="1:48" s="110" customFormat="1" ht="12.75" customHeight="1" x14ac:dyDescent="0.3">
      <c r="A371"/>
      <c r="B371"/>
      <c r="C371"/>
      <c r="E371"/>
      <c r="F371"/>
      <c r="G371"/>
      <c r="H371"/>
      <c r="I371"/>
      <c r="J371"/>
      <c r="K371"/>
      <c r="L371"/>
      <c r="M371"/>
      <c r="O371"/>
      <c r="P371"/>
      <c r="Q371"/>
      <c r="R371"/>
      <c r="S371"/>
      <c r="T371"/>
      <c r="U371"/>
      <c r="V371"/>
      <c r="W371"/>
      <c r="X371"/>
      <c r="Y371"/>
      <c r="Z371"/>
      <c r="AA371"/>
      <c r="AB371"/>
      <c r="AC371"/>
      <c r="AD371"/>
      <c r="AE371"/>
      <c r="AF371"/>
      <c r="AG371"/>
      <c r="AH371"/>
      <c r="AI371" s="111"/>
      <c r="AJ371" s="745" t="s">
        <v>695</v>
      </c>
      <c r="AK371" s="746"/>
      <c r="AL371" s="746"/>
      <c r="AM371" s="746"/>
      <c r="AN371" s="746"/>
      <c r="AO371" s="746"/>
      <c r="AP371" s="746"/>
      <c r="AQ371" s="746"/>
      <c r="AR371" s="747"/>
      <c r="AS371" s="131"/>
      <c r="AT371" s="111"/>
      <c r="AU371" s="111"/>
      <c r="AV371" s="111"/>
    </row>
    <row r="372" spans="1:48" s="110" customFormat="1" ht="12.75" customHeight="1" x14ac:dyDescent="0.3">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s="131"/>
      <c r="AT372" s="111"/>
      <c r="AU372" s="111"/>
      <c r="AV372" s="111"/>
    </row>
    <row r="373" spans="1:48" ht="12.75" customHeight="1" x14ac:dyDescent="0.35">
      <c r="A373" s="286" t="s">
        <v>871</v>
      </c>
      <c r="B373" s="110"/>
      <c r="C373" s="110"/>
      <c r="D373" s="120" t="s">
        <v>1840</v>
      </c>
      <c r="E373" s="115"/>
      <c r="F373" s="116"/>
      <c r="G373" s="110"/>
      <c r="H373" s="110"/>
      <c r="I373" s="110"/>
      <c r="J373" s="313"/>
      <c r="K373" s="313"/>
      <c r="L373" s="313"/>
      <c r="M373" s="313"/>
      <c r="N373" s="313"/>
      <c r="O373" s="313"/>
      <c r="P373" s="313"/>
      <c r="Q373" s="313"/>
      <c r="R373" s="313"/>
      <c r="S373" s="313"/>
      <c r="T373" s="313"/>
      <c r="U373" s="313"/>
      <c r="V373" s="313"/>
      <c r="W373" s="313"/>
      <c r="X373" s="313"/>
      <c r="Y373" s="313"/>
      <c r="Z373" s="313"/>
      <c r="AA373" s="313"/>
      <c r="AB373" s="313"/>
      <c r="AC373" s="313"/>
      <c r="AD373" s="313"/>
      <c r="AE373" s="313"/>
      <c r="AF373" s="313"/>
      <c r="AG373" s="313"/>
      <c r="AH373" s="313"/>
      <c r="AI373" s="313"/>
      <c r="AJ373" s="313"/>
      <c r="AK373" s="313"/>
      <c r="AL373" s="313"/>
      <c r="AM373" s="313"/>
      <c r="AN373" s="313"/>
      <c r="AO373" s="313"/>
      <c r="AP373" s="313"/>
      <c r="AQ373" s="313"/>
      <c r="AR373" s="313"/>
      <c r="AS373" s="125"/>
      <c r="AT373" s="110"/>
      <c r="AU373" s="110"/>
      <c r="AV373" s="110"/>
    </row>
    <row r="374" spans="1:48" ht="4.5" customHeight="1" x14ac:dyDescent="0.3">
      <c r="A374" s="116"/>
      <c r="B374" s="110"/>
      <c r="C374" s="110"/>
      <c r="D374" s="110"/>
      <c r="E374" s="115"/>
      <c r="F374" s="110"/>
      <c r="G374" s="110"/>
      <c r="H374" s="110"/>
      <c r="I374" s="110"/>
      <c r="J374" s="110"/>
      <c r="K374" s="313"/>
      <c r="L374" s="313"/>
      <c r="M374" s="313"/>
      <c r="N374" s="313"/>
      <c r="O374" s="313"/>
      <c r="P374" s="313"/>
      <c r="Q374" s="313"/>
      <c r="R374" s="313"/>
      <c r="S374" s="313"/>
      <c r="T374" s="313"/>
      <c r="U374" s="313"/>
      <c r="V374" s="313"/>
      <c r="W374" s="313"/>
      <c r="X374" s="313"/>
      <c r="Y374" s="313"/>
      <c r="Z374" s="313"/>
      <c r="AA374" s="313"/>
      <c r="AB374" s="313"/>
      <c r="AC374" s="313"/>
      <c r="AD374" s="313"/>
      <c r="AE374" s="313"/>
      <c r="AF374" s="313"/>
      <c r="AG374" s="313"/>
      <c r="AH374" s="313"/>
      <c r="AI374" s="313"/>
      <c r="AJ374" s="313"/>
      <c r="AK374" s="313"/>
      <c r="AL374" s="313"/>
      <c r="AM374" s="313"/>
      <c r="AN374" s="313"/>
      <c r="AO374" s="313"/>
      <c r="AP374" s="313"/>
      <c r="AQ374" s="313"/>
      <c r="AR374" s="313"/>
      <c r="AS374" s="125"/>
      <c r="AT374" s="110"/>
      <c r="AU374" s="110"/>
      <c r="AV374" s="110"/>
    </row>
    <row r="375" spans="1:48" ht="27" customHeight="1" x14ac:dyDescent="0.3">
      <c r="A375" s="116" t="s">
        <v>274</v>
      </c>
      <c r="B375" s="110"/>
      <c r="C375" s="1"/>
      <c r="D375" s="31"/>
      <c r="E375" s="32"/>
      <c r="F375" s="33"/>
      <c r="G375" s="31"/>
      <c r="H375" s="31"/>
      <c r="I375" s="31"/>
      <c r="J375" s="31"/>
      <c r="K375" s="110"/>
      <c r="L375" s="717" t="s">
        <v>1823</v>
      </c>
      <c r="M375" s="717"/>
      <c r="N375" s="717"/>
      <c r="O375" s="717"/>
      <c r="P375" s="717"/>
      <c r="Q375" s="717"/>
      <c r="R375" s="717"/>
      <c r="S375" s="717"/>
      <c r="T375" s="717"/>
      <c r="U375" s="717"/>
      <c r="V375" s="717"/>
      <c r="W375" s="717"/>
      <c r="X375" s="717"/>
      <c r="Y375" s="717"/>
      <c r="Z375" s="717"/>
      <c r="AA375" s="717"/>
      <c r="AB375" s="717"/>
      <c r="AC375" s="717"/>
      <c r="AD375" s="717"/>
      <c r="AE375" s="717"/>
      <c r="AF375" s="717"/>
      <c r="AG375" s="717"/>
      <c r="AH375" s="717"/>
      <c r="AI375" s="717"/>
      <c r="AJ375" s="717"/>
      <c r="AK375" s="717"/>
      <c r="AL375" s="717"/>
      <c r="AM375" s="717"/>
      <c r="AN375" s="717"/>
      <c r="AO375" s="717"/>
      <c r="AP375" s="717"/>
      <c r="AQ375" s="717"/>
      <c r="AR375" s="717"/>
      <c r="AS375" s="213"/>
      <c r="AT375" s="213"/>
      <c r="AU375" s="110"/>
      <c r="AV375" s="110"/>
    </row>
    <row r="376" spans="1:48" ht="4.5" customHeight="1" x14ac:dyDescent="0.3">
      <c r="A376" s="116"/>
      <c r="B376" s="110"/>
      <c r="C376" s="1"/>
      <c r="D376" s="31"/>
      <c r="E376" s="34"/>
      <c r="F376" s="31"/>
      <c r="G376" s="31"/>
      <c r="H376" s="31"/>
      <c r="I376" s="31"/>
      <c r="J376" s="31"/>
      <c r="K376" s="110"/>
      <c r="L376" s="313"/>
      <c r="M376" s="313"/>
      <c r="N376" s="313"/>
      <c r="O376" s="313"/>
      <c r="P376" s="313"/>
      <c r="Q376" s="313"/>
      <c r="R376" s="313"/>
      <c r="S376" s="313"/>
      <c r="T376" s="313"/>
      <c r="U376" s="313"/>
      <c r="V376" s="313"/>
      <c r="W376" s="313"/>
      <c r="X376" s="313"/>
      <c r="Y376" s="313"/>
      <c r="Z376" s="313"/>
      <c r="AA376" s="313"/>
      <c r="AB376" s="313"/>
      <c r="AC376" s="313"/>
      <c r="AD376" s="313"/>
      <c r="AE376" s="313"/>
      <c r="AF376" s="313"/>
      <c r="AG376" s="313"/>
      <c r="AH376" s="313"/>
      <c r="AI376" s="313"/>
      <c r="AJ376" s="313"/>
      <c r="AK376" s="313"/>
      <c r="AL376" s="313"/>
      <c r="AM376" s="313"/>
      <c r="AN376" s="313"/>
      <c r="AO376" s="313"/>
      <c r="AP376" s="313"/>
      <c r="AQ376" s="313"/>
      <c r="AR376" s="313"/>
      <c r="AS376" s="313"/>
      <c r="AT376" s="313"/>
      <c r="AU376" s="110"/>
      <c r="AV376" s="110"/>
    </row>
    <row r="377" spans="1:48" ht="39" customHeight="1" x14ac:dyDescent="0.3">
      <c r="A377" s="116" t="s">
        <v>275</v>
      </c>
      <c r="B377" s="110"/>
      <c r="C377" s="1"/>
      <c r="D377" s="31"/>
      <c r="E377" s="32"/>
      <c r="F377" s="33"/>
      <c r="G377" s="31"/>
      <c r="H377" s="31"/>
      <c r="I377" s="31"/>
      <c r="J377" s="31"/>
      <c r="K377" s="110"/>
      <c r="L377" s="717" t="s">
        <v>1532</v>
      </c>
      <c r="M377" s="717"/>
      <c r="N377" s="717"/>
      <c r="O377" s="717"/>
      <c r="P377" s="717"/>
      <c r="Q377" s="717"/>
      <c r="R377" s="717"/>
      <c r="S377" s="717"/>
      <c r="T377" s="717"/>
      <c r="U377" s="717"/>
      <c r="V377" s="717"/>
      <c r="W377" s="717"/>
      <c r="X377" s="717"/>
      <c r="Y377" s="717"/>
      <c r="Z377" s="717"/>
      <c r="AA377" s="717"/>
      <c r="AB377" s="717"/>
      <c r="AC377" s="717"/>
      <c r="AD377" s="717"/>
      <c r="AE377" s="717"/>
      <c r="AF377" s="717"/>
      <c r="AG377" s="717"/>
      <c r="AH377" s="717"/>
      <c r="AI377" s="717"/>
      <c r="AJ377" s="717"/>
      <c r="AK377" s="717"/>
      <c r="AL377" s="717"/>
      <c r="AM377" s="717"/>
      <c r="AN377" s="717"/>
      <c r="AO377" s="717"/>
      <c r="AP377" s="717"/>
      <c r="AQ377" s="717"/>
      <c r="AR377" s="717"/>
      <c r="AS377" s="213"/>
      <c r="AT377" s="213"/>
      <c r="AU377" s="110"/>
      <c r="AV377" s="264"/>
    </row>
    <row r="378" spans="1:48" ht="4.5" customHeight="1" x14ac:dyDescent="0.3">
      <c r="A378" s="116"/>
      <c r="B378" s="110"/>
      <c r="C378" s="1"/>
      <c r="D378" s="31"/>
      <c r="E378" s="32"/>
      <c r="F378" s="33"/>
      <c r="G378" s="31"/>
      <c r="H378" s="31"/>
      <c r="I378" s="31"/>
      <c r="J378" s="31"/>
      <c r="K378" s="110"/>
      <c r="L378" s="313"/>
      <c r="M378" s="313"/>
      <c r="N378" s="313"/>
      <c r="O378" s="313"/>
      <c r="P378" s="313"/>
      <c r="Q378" s="313"/>
      <c r="R378" s="313"/>
      <c r="S378" s="313"/>
      <c r="T378" s="313"/>
      <c r="U378" s="313"/>
      <c r="V378" s="313"/>
      <c r="W378" s="313"/>
      <c r="X378" s="313"/>
      <c r="Y378" s="313"/>
      <c r="Z378" s="313"/>
      <c r="AA378" s="313"/>
      <c r="AB378" s="313"/>
      <c r="AC378" s="313"/>
      <c r="AD378" s="313"/>
      <c r="AE378" s="313"/>
      <c r="AF378" s="313"/>
      <c r="AG378" s="313"/>
      <c r="AH378" s="313"/>
      <c r="AI378" s="313"/>
      <c r="AJ378" s="313"/>
      <c r="AK378" s="313"/>
      <c r="AL378" s="313"/>
      <c r="AM378" s="313"/>
      <c r="AN378" s="313"/>
      <c r="AO378" s="313"/>
      <c r="AP378" s="313"/>
      <c r="AQ378" s="313"/>
      <c r="AR378" s="313"/>
      <c r="AS378" s="313"/>
      <c r="AT378" s="313"/>
      <c r="AU378" s="110"/>
      <c r="AV378" s="264"/>
    </row>
    <row r="379" spans="1:48" ht="37.5" customHeight="1" x14ac:dyDescent="0.3">
      <c r="A379" s="116" t="s">
        <v>276</v>
      </c>
      <c r="B379" s="110"/>
      <c r="C379" s="1"/>
      <c r="D379" s="31"/>
      <c r="E379" s="34"/>
      <c r="F379" s="31"/>
      <c r="G379" s="31"/>
      <c r="H379" s="31"/>
      <c r="I379" s="31"/>
      <c r="J379" s="31"/>
      <c r="K379" s="110"/>
      <c r="L379" s="717" t="s">
        <v>1533</v>
      </c>
      <c r="M379" s="717"/>
      <c r="N379" s="717"/>
      <c r="O379" s="717"/>
      <c r="P379" s="717"/>
      <c r="Q379" s="717"/>
      <c r="R379" s="717"/>
      <c r="S379" s="717"/>
      <c r="T379" s="717"/>
      <c r="U379" s="717"/>
      <c r="V379" s="717"/>
      <c r="W379" s="717"/>
      <c r="X379" s="717"/>
      <c r="Y379" s="717"/>
      <c r="Z379" s="717"/>
      <c r="AA379" s="717"/>
      <c r="AB379" s="717"/>
      <c r="AC379" s="717"/>
      <c r="AD379" s="717"/>
      <c r="AE379" s="717"/>
      <c r="AF379" s="717"/>
      <c r="AG379" s="717"/>
      <c r="AH379" s="717"/>
      <c r="AI379" s="717"/>
      <c r="AJ379" s="717"/>
      <c r="AK379" s="717"/>
      <c r="AL379" s="717"/>
      <c r="AM379" s="717"/>
      <c r="AN379" s="717"/>
      <c r="AO379" s="717"/>
      <c r="AP379" s="717"/>
      <c r="AQ379" s="717"/>
      <c r="AR379" s="717"/>
      <c r="AS379" s="213"/>
      <c r="AT379" s="213"/>
      <c r="AU379" s="110"/>
      <c r="AV379" s="264"/>
    </row>
    <row r="380" spans="1:48" ht="4.5" customHeight="1" x14ac:dyDescent="0.3">
      <c r="A380" s="116"/>
      <c r="B380" s="110"/>
      <c r="C380" s="1"/>
      <c r="D380" s="31"/>
      <c r="E380" s="34"/>
      <c r="F380" s="31"/>
      <c r="G380" s="31"/>
      <c r="H380" s="31"/>
      <c r="I380" s="31"/>
      <c r="J380" s="31"/>
      <c r="K380" s="110"/>
      <c r="L380" s="313"/>
      <c r="M380" s="313"/>
      <c r="N380" s="313"/>
      <c r="O380" s="313"/>
      <c r="P380" s="313"/>
      <c r="Q380" s="313"/>
      <c r="R380" s="313"/>
      <c r="S380" s="313"/>
      <c r="T380" s="313"/>
      <c r="U380" s="313"/>
      <c r="V380" s="313"/>
      <c r="W380" s="313"/>
      <c r="X380" s="313"/>
      <c r="Y380" s="313"/>
      <c r="Z380" s="313"/>
      <c r="AA380" s="313"/>
      <c r="AB380" s="313"/>
      <c r="AC380" s="313"/>
      <c r="AD380" s="313"/>
      <c r="AE380" s="313"/>
      <c r="AF380" s="313"/>
      <c r="AG380" s="313"/>
      <c r="AH380" s="313"/>
      <c r="AI380" s="313"/>
      <c r="AJ380" s="313"/>
      <c r="AK380" s="313"/>
      <c r="AL380" s="313"/>
      <c r="AM380" s="313"/>
      <c r="AN380" s="313"/>
      <c r="AO380" s="313"/>
      <c r="AP380" s="313"/>
      <c r="AQ380" s="313"/>
      <c r="AR380" s="313"/>
      <c r="AS380" s="313"/>
      <c r="AT380" s="313"/>
      <c r="AU380" s="110"/>
      <c r="AV380" s="110"/>
    </row>
    <row r="381" spans="1:48" ht="38.25" customHeight="1" x14ac:dyDescent="0.3">
      <c r="A381" s="116" t="s">
        <v>277</v>
      </c>
      <c r="B381" s="110"/>
      <c r="C381" s="1"/>
      <c r="D381" s="31"/>
      <c r="E381" s="32"/>
      <c r="F381" s="33"/>
      <c r="G381" s="31"/>
      <c r="H381" s="31"/>
      <c r="I381" s="31"/>
      <c r="J381" s="31"/>
      <c r="K381" s="110"/>
      <c r="L381" s="717" t="s">
        <v>1534</v>
      </c>
      <c r="M381" s="717"/>
      <c r="N381" s="717"/>
      <c r="O381" s="717"/>
      <c r="P381" s="717"/>
      <c r="Q381" s="717"/>
      <c r="R381" s="717"/>
      <c r="S381" s="717"/>
      <c r="T381" s="717"/>
      <c r="U381" s="717"/>
      <c r="V381" s="717"/>
      <c r="W381" s="717"/>
      <c r="X381" s="717"/>
      <c r="Y381" s="717"/>
      <c r="Z381" s="717"/>
      <c r="AA381" s="717"/>
      <c r="AB381" s="717"/>
      <c r="AC381" s="717"/>
      <c r="AD381" s="717"/>
      <c r="AE381" s="717"/>
      <c r="AF381" s="717"/>
      <c r="AG381" s="717"/>
      <c r="AH381" s="717"/>
      <c r="AI381" s="717"/>
      <c r="AJ381" s="717"/>
      <c r="AK381" s="717"/>
      <c r="AL381" s="717"/>
      <c r="AM381" s="717"/>
      <c r="AN381" s="717"/>
      <c r="AO381" s="717"/>
      <c r="AP381" s="717"/>
      <c r="AQ381" s="717"/>
      <c r="AR381" s="717"/>
      <c r="AS381" s="213"/>
      <c r="AT381" s="213"/>
      <c r="AU381" s="110"/>
      <c r="AV381" s="110"/>
    </row>
    <row r="382" spans="1:48" ht="4.5" customHeight="1" x14ac:dyDescent="0.3">
      <c r="A382" s="116"/>
      <c r="B382" s="110"/>
      <c r="C382" s="1"/>
      <c r="D382" s="1"/>
      <c r="E382" s="35"/>
      <c r="F382" s="1"/>
      <c r="G382" s="1"/>
      <c r="H382" s="1"/>
      <c r="I382" s="1"/>
      <c r="J382" s="1"/>
      <c r="K382" s="110"/>
      <c r="L382" s="313"/>
      <c r="M382" s="313"/>
      <c r="N382" s="313"/>
      <c r="O382" s="313"/>
      <c r="P382" s="313"/>
      <c r="Q382" s="313"/>
      <c r="R382" s="313"/>
      <c r="S382" s="313"/>
      <c r="T382" s="313"/>
      <c r="U382" s="313"/>
      <c r="V382" s="313"/>
      <c r="W382" s="313"/>
      <c r="X382" s="313"/>
      <c r="Y382" s="313"/>
      <c r="Z382" s="313"/>
      <c r="AA382" s="313"/>
      <c r="AB382" s="313"/>
      <c r="AC382" s="313"/>
      <c r="AD382" s="313"/>
      <c r="AE382" s="313"/>
      <c r="AF382" s="313"/>
      <c r="AG382" s="313"/>
      <c r="AH382" s="313"/>
      <c r="AI382" s="313"/>
      <c r="AJ382" s="313"/>
      <c r="AK382" s="313"/>
      <c r="AL382" s="313"/>
      <c r="AM382" s="313"/>
      <c r="AN382" s="313"/>
      <c r="AO382" s="313"/>
      <c r="AP382" s="313"/>
      <c r="AQ382" s="313"/>
      <c r="AR382" s="313"/>
      <c r="AS382" s="313"/>
      <c r="AT382" s="313"/>
      <c r="AU382" s="110"/>
      <c r="AV382" s="110"/>
    </row>
    <row r="383" spans="1:48" ht="12.75" customHeight="1" x14ac:dyDescent="0.3">
      <c r="A383" s="116" t="s">
        <v>278</v>
      </c>
      <c r="B383" s="110"/>
      <c r="C383" s="1"/>
      <c r="D383" s="1"/>
      <c r="E383" s="11"/>
      <c r="F383" s="3"/>
      <c r="G383" s="1"/>
      <c r="H383" s="1"/>
      <c r="I383" s="1"/>
      <c r="J383" s="1"/>
      <c r="K383" s="110"/>
      <c r="L383" s="717" t="s">
        <v>1824</v>
      </c>
      <c r="M383" s="717"/>
      <c r="N383" s="717"/>
      <c r="O383" s="717"/>
      <c r="P383" s="717"/>
      <c r="Q383" s="717"/>
      <c r="R383" s="717"/>
      <c r="S383" s="717"/>
      <c r="T383" s="717"/>
      <c r="U383" s="717"/>
      <c r="V383" s="717"/>
      <c r="W383" s="717"/>
      <c r="X383" s="717"/>
      <c r="Y383" s="717"/>
      <c r="Z383" s="717"/>
      <c r="AA383" s="717"/>
      <c r="AB383" s="717"/>
      <c r="AC383" s="717"/>
      <c r="AD383" s="717"/>
      <c r="AE383" s="717"/>
      <c r="AF383" s="717"/>
      <c r="AG383" s="717"/>
      <c r="AH383" s="717"/>
      <c r="AI383" s="717"/>
      <c r="AJ383" s="717"/>
      <c r="AK383" s="717"/>
      <c r="AL383" s="717"/>
      <c r="AM383" s="717"/>
      <c r="AN383" s="717"/>
      <c r="AO383" s="717"/>
      <c r="AP383" s="717"/>
      <c r="AQ383" s="717"/>
      <c r="AR383" s="717"/>
      <c r="AS383" s="213"/>
      <c r="AT383" s="213"/>
      <c r="AU383" s="110"/>
      <c r="AV383" s="110"/>
    </row>
    <row r="384" spans="1:48" ht="4.5" customHeight="1" x14ac:dyDescent="0.3">
      <c r="A384" s="116"/>
      <c r="B384" s="110"/>
      <c r="C384" s="110"/>
      <c r="D384" s="110"/>
      <c r="E384" s="118"/>
      <c r="F384" s="127"/>
      <c r="G384" s="110"/>
      <c r="H384" s="110"/>
      <c r="I384" s="110"/>
      <c r="J384" s="110"/>
      <c r="K384" s="313"/>
      <c r="L384" s="313"/>
      <c r="M384" s="313"/>
      <c r="N384" s="313"/>
      <c r="O384" s="313"/>
      <c r="P384" s="313"/>
      <c r="Q384" s="313"/>
      <c r="R384" s="313"/>
      <c r="S384" s="313"/>
      <c r="T384" s="313"/>
      <c r="U384" s="313"/>
      <c r="V384" s="313"/>
      <c r="W384" s="313"/>
      <c r="X384" s="313"/>
      <c r="Y384" s="313"/>
      <c r="Z384" s="313"/>
      <c r="AA384" s="313"/>
      <c r="AB384" s="313"/>
      <c r="AC384" s="313"/>
      <c r="AD384" s="313"/>
      <c r="AE384" s="313"/>
      <c r="AF384" s="313"/>
      <c r="AG384" s="313"/>
      <c r="AH384" s="313"/>
      <c r="AI384" s="313"/>
      <c r="AJ384" s="313"/>
      <c r="AK384" s="313"/>
      <c r="AL384" s="313"/>
      <c r="AM384" s="313"/>
      <c r="AN384" s="313"/>
      <c r="AO384" s="313"/>
      <c r="AP384" s="313"/>
      <c r="AQ384" s="313"/>
      <c r="AR384" s="313"/>
      <c r="AS384" s="125"/>
      <c r="AT384" s="110"/>
      <c r="AU384" s="110"/>
      <c r="AV384" s="110"/>
    </row>
    <row r="385" spans="1:48" ht="12.75" customHeight="1" x14ac:dyDescent="0.3">
      <c r="A385" s="116"/>
      <c r="B385" s="110"/>
      <c r="C385" s="110"/>
      <c r="D385" s="110"/>
      <c r="E385" s="115"/>
      <c r="F385" s="116" t="s">
        <v>700</v>
      </c>
      <c r="G385" s="110"/>
      <c r="H385" s="110"/>
      <c r="I385" s="110"/>
      <c r="J385" s="755" t="str">
        <f>IF(calculations!M166,"describe corrective action proposed to correct any Red Flag or Yellow Flag ranking",IF(calculations!N166,"describe corrective action proposed to correct any Red Flag or Yellow Flag ranking",""))</f>
        <v/>
      </c>
      <c r="K385" s="756"/>
      <c r="L385" s="756"/>
      <c r="M385" s="756"/>
      <c r="N385" s="756"/>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7"/>
      <c r="AS385" s="125"/>
    </row>
    <row r="386" spans="1:48" ht="4.5" customHeight="1" x14ac:dyDescent="0.3">
      <c r="A386" s="116"/>
      <c r="B386" s="110"/>
      <c r="C386" s="110"/>
      <c r="D386" s="110"/>
      <c r="E386" s="115"/>
      <c r="F386" s="116"/>
      <c r="G386" s="110"/>
      <c r="H386" s="110"/>
      <c r="I386" s="110"/>
      <c r="J386" s="315"/>
      <c r="K386" s="315"/>
      <c r="L386" s="315"/>
      <c r="M386" s="315"/>
      <c r="N386" s="315"/>
      <c r="O386" s="315"/>
      <c r="P386" s="315"/>
      <c r="Q386" s="315"/>
      <c r="R386" s="315"/>
      <c r="S386" s="315"/>
      <c r="T386" s="315"/>
      <c r="U386" s="315"/>
      <c r="V386" s="315"/>
      <c r="W386" s="315"/>
      <c r="X386" s="315"/>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125"/>
    </row>
    <row r="387" spans="1:48" ht="37.5" customHeight="1" x14ac:dyDescent="0.3">
      <c r="A387" s="116"/>
      <c r="B387" s="110"/>
      <c r="C387" s="110"/>
      <c r="D387" s="110"/>
      <c r="E387" s="115"/>
      <c r="F387" s="114" t="str">
        <f>IF(calculations!G166=4,"OFE",IF(calculations!G166=5,"REC",IF(J387&gt;"","RECS","")))</f>
        <v/>
      </c>
      <c r="G387" s="110"/>
      <c r="H387" s="110"/>
      <c r="I387" s="110"/>
      <c r="J387" s="755" t="str">
        <f>IF(calculations!M166,CONCATENATE("OFE:  ",Rec!D191),IF(calculations!N166,Rec!D192,""))</f>
        <v/>
      </c>
      <c r="K387" s="756"/>
      <c r="L387" s="756"/>
      <c r="M387" s="756"/>
      <c r="N387" s="756"/>
      <c r="O387" s="756"/>
      <c r="P387" s="756"/>
      <c r="Q387" s="756"/>
      <c r="R387" s="756"/>
      <c r="S387" s="756"/>
      <c r="T387" s="756"/>
      <c r="U387" s="756"/>
      <c r="V387" s="756"/>
      <c r="W387" s="756"/>
      <c r="X387" s="756"/>
      <c r="Y387" s="756"/>
      <c r="Z387" s="756"/>
      <c r="AA387" s="756"/>
      <c r="AB387" s="756"/>
      <c r="AC387" s="756"/>
      <c r="AD387" s="756"/>
      <c r="AE387" s="756"/>
      <c r="AF387" s="756"/>
      <c r="AG387" s="756"/>
      <c r="AH387" s="756"/>
      <c r="AI387" s="756"/>
      <c r="AJ387" s="756"/>
      <c r="AK387" s="756"/>
      <c r="AL387" s="756"/>
      <c r="AM387" s="756"/>
      <c r="AN387" s="756"/>
      <c r="AO387" s="756"/>
      <c r="AP387" s="756"/>
      <c r="AQ387" s="756"/>
      <c r="AR387" s="757"/>
      <c r="AS387" s="125"/>
    </row>
    <row r="388" spans="1:48" s="110" customFormat="1" ht="12.75" customHeight="1" x14ac:dyDescent="0.3">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s="131"/>
      <c r="AT388" s="111"/>
      <c r="AU388" s="111"/>
      <c r="AV388" s="111"/>
    </row>
    <row r="389" spans="1:48" s="110" customFormat="1" ht="14.15" x14ac:dyDescent="0.35">
      <c r="A389" s="342" t="s">
        <v>872</v>
      </c>
      <c r="B389" s="111"/>
      <c r="C389" s="111"/>
      <c r="D389" s="122" t="s">
        <v>904</v>
      </c>
      <c r="E389" s="12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c r="AJ389" s="111"/>
      <c r="AK389" s="111"/>
      <c r="AL389" s="111"/>
      <c r="AM389" s="111"/>
      <c r="AN389" s="111"/>
      <c r="AO389" s="111"/>
      <c r="AP389" s="111"/>
      <c r="AQ389" s="111"/>
      <c r="AR389" s="111"/>
      <c r="AT389" s="111"/>
    </row>
    <row r="390" spans="1:48" s="110" customFormat="1" ht="4.5" customHeight="1" x14ac:dyDescent="0.3">
      <c r="A390" s="343"/>
      <c r="B390" s="111"/>
      <c r="C390" s="111"/>
      <c r="D390" s="111"/>
      <c r="E390" s="12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1"/>
      <c r="AN390" s="111"/>
      <c r="AO390" s="111"/>
      <c r="AP390" s="111"/>
      <c r="AQ390" s="111"/>
      <c r="AR390" s="111"/>
      <c r="AT390" s="111"/>
    </row>
    <row r="391" spans="1:48" s="110" customFormat="1" ht="26.25" customHeight="1" x14ac:dyDescent="0.3">
      <c r="A391" s="343" t="s">
        <v>280</v>
      </c>
      <c r="B391" s="111"/>
      <c r="C391" s="1"/>
      <c r="D391" s="31"/>
      <c r="E391" s="32"/>
      <c r="F391" s="33"/>
      <c r="G391" s="31"/>
      <c r="H391" s="31"/>
      <c r="I391" s="31"/>
      <c r="J391" s="31"/>
      <c r="K391" s="245"/>
      <c r="L391" s="786" t="s">
        <v>1841</v>
      </c>
      <c r="M391" s="786"/>
      <c r="N391" s="786"/>
      <c r="O391" s="786"/>
      <c r="P391" s="786"/>
      <c r="Q391" s="786"/>
      <c r="R391" s="786"/>
      <c r="S391" s="786"/>
      <c r="T391" s="786"/>
      <c r="U391" s="786"/>
      <c r="V391" s="786"/>
      <c r="W391" s="786"/>
      <c r="X391" s="786"/>
      <c r="Y391" s="786"/>
      <c r="Z391" s="786"/>
      <c r="AA391" s="786"/>
      <c r="AB391" s="786"/>
      <c r="AC391" s="786"/>
      <c r="AD391" s="786"/>
      <c r="AE391" s="786"/>
      <c r="AF391" s="786"/>
      <c r="AG391" s="786"/>
      <c r="AH391" s="786"/>
      <c r="AI391" s="786"/>
      <c r="AJ391" s="786"/>
      <c r="AK391" s="786"/>
      <c r="AL391" s="786"/>
      <c r="AM391" s="786"/>
      <c r="AN391" s="786"/>
      <c r="AO391" s="786"/>
      <c r="AP391" s="786"/>
      <c r="AQ391" s="786"/>
      <c r="AR391" s="786"/>
      <c r="AT391" s="111"/>
    </row>
    <row r="392" spans="1:48" s="110" customFormat="1" ht="4.5" customHeight="1" x14ac:dyDescent="0.3">
      <c r="A392" s="343"/>
      <c r="B392" s="111"/>
      <c r="C392" s="1"/>
      <c r="D392" s="31"/>
      <c r="E392" s="34"/>
      <c r="F392" s="31"/>
      <c r="G392" s="31"/>
      <c r="H392" s="31"/>
      <c r="I392" s="31"/>
      <c r="J392" s="31"/>
      <c r="K392" s="245"/>
      <c r="L392" s="245"/>
      <c r="M392" s="245"/>
      <c r="N392" s="245"/>
      <c r="O392" s="245"/>
      <c r="P392" s="245"/>
      <c r="Q392" s="245"/>
      <c r="R392" s="245"/>
      <c r="S392" s="245"/>
      <c r="T392" s="245"/>
      <c r="U392" s="245"/>
      <c r="V392" s="245"/>
      <c r="W392" s="245"/>
      <c r="X392" s="245"/>
      <c r="Y392" s="245"/>
      <c r="Z392" s="245"/>
      <c r="AA392" s="245"/>
      <c r="AB392" s="245"/>
      <c r="AC392" s="245"/>
      <c r="AD392" s="245"/>
      <c r="AE392" s="245"/>
      <c r="AF392" s="245"/>
      <c r="AG392" s="245"/>
      <c r="AH392" s="245"/>
      <c r="AI392" s="245"/>
      <c r="AJ392" s="245"/>
      <c r="AK392" s="245"/>
      <c r="AL392" s="245"/>
      <c r="AM392" s="245"/>
      <c r="AN392" s="245"/>
      <c r="AO392" s="245"/>
      <c r="AP392" s="245"/>
      <c r="AQ392" s="245"/>
      <c r="AR392" s="245"/>
      <c r="AT392" s="111"/>
    </row>
    <row r="393" spans="1:48" s="110" customFormat="1" ht="63" customHeight="1" x14ac:dyDescent="0.3">
      <c r="A393" s="343" t="s">
        <v>1819</v>
      </c>
      <c r="B393" s="111"/>
      <c r="C393" s="1"/>
      <c r="D393" s="31"/>
      <c r="E393" s="32"/>
      <c r="F393" s="33"/>
      <c r="G393" s="31"/>
      <c r="H393" s="31"/>
      <c r="I393" s="31"/>
      <c r="J393" s="31"/>
      <c r="K393" s="245"/>
      <c r="L393" s="786" t="str">
        <f>forms!A219</f>
        <v>1) GOLD MEDAL plus an active protocol that requires adult visitors to prominently display a visitor's pass. 
2) Non-activity staff (e.g., office, maintenance, etc.) wear name tags that identify them as staff. 
3) Resident camps have documented bed-checks each night and there is an on-duty staff member designated as point person for emergencies.</v>
      </c>
      <c r="M393" s="786"/>
      <c r="N393" s="786"/>
      <c r="O393" s="786"/>
      <c r="P393" s="786"/>
      <c r="Q393" s="786"/>
      <c r="R393" s="786"/>
      <c r="S393" s="786"/>
      <c r="T393" s="786"/>
      <c r="U393" s="786"/>
      <c r="V393" s="786"/>
      <c r="W393" s="786"/>
      <c r="X393" s="786"/>
      <c r="Y393" s="786"/>
      <c r="Z393" s="786"/>
      <c r="AA393" s="786"/>
      <c r="AB393" s="786"/>
      <c r="AC393" s="786"/>
      <c r="AD393" s="786"/>
      <c r="AE393" s="786"/>
      <c r="AF393" s="786"/>
      <c r="AG393" s="786"/>
      <c r="AH393" s="786"/>
      <c r="AI393" s="786"/>
      <c r="AJ393" s="786"/>
      <c r="AK393" s="786"/>
      <c r="AL393" s="786"/>
      <c r="AM393" s="786"/>
      <c r="AN393" s="786"/>
      <c r="AO393" s="786"/>
      <c r="AP393" s="786"/>
      <c r="AQ393" s="786"/>
      <c r="AR393" s="786"/>
      <c r="AT393" s="111"/>
    </row>
    <row r="394" spans="1:48" s="110" customFormat="1" ht="4.5" customHeight="1" x14ac:dyDescent="0.3">
      <c r="A394" s="343"/>
      <c r="B394" s="111"/>
      <c r="C394" s="1"/>
      <c r="D394" s="31"/>
      <c r="E394" s="32"/>
      <c r="F394" s="33"/>
      <c r="G394" s="31"/>
      <c r="H394" s="31"/>
      <c r="I394" s="31"/>
      <c r="J394" s="31"/>
      <c r="K394" s="245"/>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45"/>
      <c r="AT394" s="111"/>
    </row>
    <row r="395" spans="1:48" s="110" customFormat="1" x14ac:dyDescent="0.3">
      <c r="A395" s="343" t="s">
        <v>282</v>
      </c>
      <c r="B395" s="111"/>
      <c r="C395" s="1"/>
      <c r="D395" s="31"/>
      <c r="E395" s="34"/>
      <c r="F395" s="31"/>
      <c r="G395" s="31"/>
      <c r="H395" s="31"/>
      <c r="I395" s="31"/>
      <c r="J395" s="31"/>
      <c r="K395" s="245"/>
      <c r="L395" s="786" t="s">
        <v>1842</v>
      </c>
      <c r="M395" s="786"/>
      <c r="N395" s="786"/>
      <c r="O395" s="786"/>
      <c r="P395" s="786"/>
      <c r="Q395" s="786"/>
      <c r="R395" s="786"/>
      <c r="S395" s="786"/>
      <c r="T395" s="786"/>
      <c r="U395" s="786"/>
      <c r="V395" s="786"/>
      <c r="W395" s="786"/>
      <c r="X395" s="786"/>
      <c r="Y395" s="786"/>
      <c r="Z395" s="786"/>
      <c r="AA395" s="786"/>
      <c r="AB395" s="786"/>
      <c r="AC395" s="786"/>
      <c r="AD395" s="786"/>
      <c r="AE395" s="786"/>
      <c r="AF395" s="786"/>
      <c r="AG395" s="786"/>
      <c r="AH395" s="786"/>
      <c r="AI395" s="786"/>
      <c r="AJ395" s="786"/>
      <c r="AK395" s="786"/>
      <c r="AL395" s="786"/>
      <c r="AM395" s="786"/>
      <c r="AN395" s="786"/>
      <c r="AO395" s="786"/>
      <c r="AP395" s="786"/>
      <c r="AQ395" s="786"/>
      <c r="AR395" s="786"/>
      <c r="AT395" s="111"/>
    </row>
    <row r="396" spans="1:48" s="110" customFormat="1" ht="4.5" customHeight="1" x14ac:dyDescent="0.3">
      <c r="A396" s="343"/>
      <c r="B396" s="111"/>
      <c r="C396" s="1"/>
      <c r="D396" s="31"/>
      <c r="E396" s="34"/>
      <c r="F396" s="31"/>
      <c r="G396" s="31"/>
      <c r="H396" s="31"/>
      <c r="I396" s="31"/>
      <c r="J396" s="31"/>
      <c r="K396" s="245"/>
      <c r="L396" s="262"/>
      <c r="M396" s="262"/>
      <c r="N396" s="262"/>
      <c r="O396" s="262"/>
      <c r="P396" s="262"/>
      <c r="Q396" s="262"/>
      <c r="R396" s="262"/>
      <c r="S396" s="262"/>
      <c r="T396" s="262"/>
      <c r="U396" s="262"/>
      <c r="V396" s="262"/>
      <c r="W396" s="262"/>
      <c r="X396" s="262"/>
      <c r="Y396" s="262"/>
      <c r="Z396" s="262"/>
      <c r="AA396" s="262"/>
      <c r="AB396" s="262"/>
      <c r="AC396" s="262"/>
      <c r="AD396" s="262"/>
      <c r="AE396" s="262"/>
      <c r="AF396" s="262"/>
      <c r="AG396" s="262"/>
      <c r="AH396" s="262"/>
      <c r="AI396" s="262"/>
      <c r="AJ396" s="262"/>
      <c r="AK396" s="262"/>
      <c r="AL396" s="262"/>
      <c r="AM396" s="262"/>
      <c r="AN396" s="262"/>
      <c r="AO396" s="262"/>
      <c r="AP396" s="262"/>
      <c r="AQ396" s="262"/>
      <c r="AR396" s="245"/>
      <c r="AT396" s="111"/>
    </row>
    <row r="397" spans="1:48" s="110" customFormat="1" ht="26.25" customHeight="1" x14ac:dyDescent="0.3">
      <c r="A397" s="343" t="s">
        <v>1820</v>
      </c>
      <c r="B397" s="111"/>
      <c r="C397" s="1"/>
      <c r="D397" s="31"/>
      <c r="E397" s="32"/>
      <c r="F397" s="33"/>
      <c r="G397" s="31"/>
      <c r="H397" s="31"/>
      <c r="I397" s="31"/>
      <c r="J397" s="31"/>
      <c r="K397" s="245"/>
      <c r="L397" s="786" t="s">
        <v>1843</v>
      </c>
      <c r="M397" s="786"/>
      <c r="N397" s="786"/>
      <c r="O397" s="786"/>
      <c r="P397" s="786"/>
      <c r="Q397" s="786"/>
      <c r="R397" s="786"/>
      <c r="S397" s="786"/>
      <c r="T397" s="786"/>
      <c r="U397" s="786"/>
      <c r="V397" s="786"/>
      <c r="W397" s="786"/>
      <c r="X397" s="786"/>
      <c r="Y397" s="786"/>
      <c r="Z397" s="786"/>
      <c r="AA397" s="786"/>
      <c r="AB397" s="786"/>
      <c r="AC397" s="786"/>
      <c r="AD397" s="786"/>
      <c r="AE397" s="786"/>
      <c r="AF397" s="786"/>
      <c r="AG397" s="786"/>
      <c r="AH397" s="786"/>
      <c r="AI397" s="786"/>
      <c r="AJ397" s="786"/>
      <c r="AK397" s="786"/>
      <c r="AL397" s="786"/>
      <c r="AM397" s="786"/>
      <c r="AN397" s="786"/>
      <c r="AO397" s="786"/>
      <c r="AP397" s="786"/>
      <c r="AQ397" s="786"/>
      <c r="AR397" s="786"/>
      <c r="AT397" s="111"/>
    </row>
    <row r="398" spans="1:48" s="110" customFormat="1" ht="4.5" customHeight="1" x14ac:dyDescent="0.3">
      <c r="A398" s="343"/>
      <c r="B398" s="111"/>
      <c r="C398" s="1"/>
      <c r="D398" s="1"/>
      <c r="E398" s="35"/>
      <c r="F398" s="1"/>
      <c r="G398" s="1"/>
      <c r="H398" s="1"/>
      <c r="I398" s="1"/>
      <c r="J398" s="1"/>
      <c r="K398" s="245"/>
      <c r="L398" s="245"/>
      <c r="M398" s="245"/>
      <c r="N398" s="245"/>
      <c r="O398" s="245"/>
      <c r="P398" s="245"/>
      <c r="Q398" s="245"/>
      <c r="R398" s="245"/>
      <c r="S398" s="245"/>
      <c r="T398" s="245"/>
      <c r="U398" s="245"/>
      <c r="V398" s="245"/>
      <c r="W398" s="245"/>
      <c r="X398" s="245"/>
      <c r="Y398" s="245"/>
      <c r="Z398" s="245"/>
      <c r="AA398" s="245"/>
      <c r="AB398" s="245"/>
      <c r="AC398" s="245"/>
      <c r="AD398" s="245"/>
      <c r="AE398" s="245"/>
      <c r="AF398" s="245"/>
      <c r="AG398" s="245"/>
      <c r="AH398" s="245"/>
      <c r="AI398" s="245"/>
      <c r="AJ398" s="245"/>
      <c r="AK398" s="245"/>
      <c r="AL398" s="245"/>
      <c r="AM398" s="245"/>
      <c r="AN398" s="245"/>
      <c r="AO398" s="245"/>
      <c r="AP398" s="245"/>
      <c r="AQ398" s="245"/>
      <c r="AR398" s="245"/>
      <c r="AT398" s="111"/>
    </row>
    <row r="399" spans="1:48" s="110" customFormat="1" ht="26.25" customHeight="1" x14ac:dyDescent="0.3">
      <c r="A399" s="343" t="s">
        <v>196</v>
      </c>
      <c r="B399" s="111"/>
      <c r="C399" s="1"/>
      <c r="D399" s="1"/>
      <c r="E399" s="11"/>
      <c r="F399" s="3"/>
      <c r="G399" s="1"/>
      <c r="H399" s="1"/>
      <c r="I399" s="1"/>
      <c r="J399" s="1"/>
      <c r="K399" s="245"/>
      <c r="L399" s="786" t="s">
        <v>1844</v>
      </c>
      <c r="M399" s="786"/>
      <c r="N399" s="786"/>
      <c r="O399" s="786"/>
      <c r="P399" s="786"/>
      <c r="Q399" s="786"/>
      <c r="R399" s="786"/>
      <c r="S399" s="786"/>
      <c r="T399" s="786"/>
      <c r="U399" s="786"/>
      <c r="V399" s="786"/>
      <c r="W399" s="786"/>
      <c r="X399" s="786"/>
      <c r="Y399" s="786"/>
      <c r="Z399" s="786"/>
      <c r="AA399" s="786"/>
      <c r="AB399" s="786"/>
      <c r="AC399" s="786"/>
      <c r="AD399" s="786"/>
      <c r="AE399" s="786"/>
      <c r="AF399" s="786"/>
      <c r="AG399" s="786"/>
      <c r="AH399" s="786"/>
      <c r="AI399" s="786"/>
      <c r="AJ399" s="786"/>
      <c r="AK399" s="786"/>
      <c r="AL399" s="786"/>
      <c r="AM399" s="786"/>
      <c r="AN399" s="786"/>
      <c r="AO399" s="786"/>
      <c r="AP399" s="786"/>
      <c r="AQ399" s="786"/>
      <c r="AR399" s="786"/>
      <c r="AT399" s="111"/>
    </row>
    <row r="400" spans="1:48" s="110" customFormat="1" ht="4.5" customHeight="1" x14ac:dyDescent="0.3">
      <c r="A400" s="73"/>
      <c r="B400" s="111"/>
      <c r="C400" s="133"/>
      <c r="D400" s="133"/>
      <c r="E400" s="134"/>
      <c r="F400" s="156"/>
      <c r="G400" s="133"/>
      <c r="H400" s="133"/>
      <c r="I400" s="133"/>
      <c r="J400" s="260"/>
      <c r="K400" s="245"/>
      <c r="L400" s="245"/>
      <c r="M400" s="245"/>
      <c r="N400" s="245"/>
      <c r="O400" s="245"/>
      <c r="P400" s="245"/>
      <c r="Q400" s="245"/>
      <c r="R400" s="245"/>
      <c r="S400" s="245"/>
      <c r="T400" s="245"/>
      <c r="U400" s="245"/>
      <c r="V400" s="245"/>
      <c r="W400" s="245"/>
      <c r="X400" s="245"/>
      <c r="Y400" s="245"/>
      <c r="Z400" s="245"/>
      <c r="AA400" s="245"/>
      <c r="AB400" s="245"/>
      <c r="AC400" s="245"/>
      <c r="AD400" s="245"/>
      <c r="AE400" s="245"/>
      <c r="AF400" s="245"/>
      <c r="AG400" s="245"/>
      <c r="AH400" s="245"/>
      <c r="AI400" s="245"/>
      <c r="AJ400" s="245"/>
      <c r="AK400" s="245"/>
      <c r="AL400" s="245"/>
      <c r="AM400" s="245"/>
      <c r="AN400" s="245"/>
      <c r="AO400" s="245"/>
      <c r="AP400" s="245"/>
      <c r="AQ400" s="245"/>
      <c r="AR400" s="245"/>
      <c r="AT400" s="111"/>
    </row>
    <row r="401" spans="1:48" s="110" customFormat="1" x14ac:dyDescent="0.3">
      <c r="A401" s="73"/>
      <c r="E401" s="115"/>
      <c r="F401" s="116" t="s">
        <v>700</v>
      </c>
      <c r="J401" s="755" t="str">
        <f>IF(calculations!M167,"describe corrective action proposed to correct any Red Flag or Yellow Flag ranking",IF(calculations!N167,"describe corrective action proposed to correct any Red Flag or Yellow Flag ranking",""))</f>
        <v/>
      </c>
      <c r="K401" s="756"/>
      <c r="L401" s="756"/>
      <c r="M401" s="756"/>
      <c r="N401" s="756"/>
      <c r="O401" s="756"/>
      <c r="P401" s="756"/>
      <c r="Q401" s="756"/>
      <c r="R401" s="756"/>
      <c r="S401" s="756"/>
      <c r="T401" s="756"/>
      <c r="U401" s="756"/>
      <c r="V401" s="756"/>
      <c r="W401" s="756"/>
      <c r="X401" s="756"/>
      <c r="Y401" s="756"/>
      <c r="Z401" s="756"/>
      <c r="AA401" s="756"/>
      <c r="AB401" s="756"/>
      <c r="AC401" s="756"/>
      <c r="AD401" s="756"/>
      <c r="AE401" s="756"/>
      <c r="AF401" s="756"/>
      <c r="AG401" s="756"/>
      <c r="AH401" s="756"/>
      <c r="AI401" s="756"/>
      <c r="AJ401" s="756"/>
      <c r="AK401" s="756"/>
      <c r="AL401" s="756"/>
      <c r="AM401" s="756"/>
      <c r="AN401" s="756"/>
      <c r="AO401" s="756"/>
      <c r="AP401" s="756"/>
      <c r="AQ401" s="756"/>
      <c r="AR401" s="757"/>
      <c r="AT401" s="111"/>
    </row>
    <row r="402" spans="1:48" s="110" customFormat="1" ht="4.5" customHeight="1" x14ac:dyDescent="0.3">
      <c r="A402" s="73"/>
      <c r="B402" s="111"/>
      <c r="C402" s="111"/>
      <c r="D402" s="111"/>
      <c r="E402" s="121"/>
      <c r="F402" s="138"/>
      <c r="G402" s="111"/>
      <c r="H402" s="111"/>
      <c r="I402" s="111"/>
      <c r="J402" s="316"/>
      <c r="K402" s="316"/>
      <c r="L402" s="316"/>
      <c r="M402" s="316"/>
      <c r="N402" s="316"/>
      <c r="O402" s="316"/>
      <c r="P402" s="316"/>
      <c r="Q402" s="316"/>
      <c r="R402" s="316"/>
      <c r="S402" s="316"/>
      <c r="T402" s="316"/>
      <c r="U402" s="316"/>
      <c r="V402" s="316"/>
      <c r="W402" s="316"/>
      <c r="X402" s="316"/>
      <c r="Y402" s="316"/>
      <c r="Z402" s="316"/>
      <c r="AA402" s="316"/>
      <c r="AB402" s="316"/>
      <c r="AC402" s="316"/>
      <c r="AD402" s="316"/>
      <c r="AE402" s="316"/>
      <c r="AF402" s="316"/>
      <c r="AG402" s="316"/>
      <c r="AH402" s="316"/>
      <c r="AI402" s="316"/>
      <c r="AJ402" s="316"/>
      <c r="AK402" s="316"/>
      <c r="AL402" s="316"/>
      <c r="AM402" s="316"/>
      <c r="AN402" s="316"/>
      <c r="AO402" s="316"/>
      <c r="AP402" s="316"/>
      <c r="AQ402" s="316"/>
      <c r="AR402" s="316"/>
      <c r="AT402" s="111"/>
    </row>
    <row r="403" spans="1:48" s="110" customFormat="1" ht="24" customHeight="1" x14ac:dyDescent="0.3">
      <c r="A403" s="73"/>
      <c r="B403" s="111"/>
      <c r="C403" s="111"/>
      <c r="D403" s="111"/>
      <c r="E403" s="121"/>
      <c r="F403" s="114" t="str">
        <f>IF(J403&gt;"","RECS","")</f>
        <v/>
      </c>
      <c r="G403" s="111"/>
      <c r="H403" s="111"/>
      <c r="I403" s="111"/>
      <c r="J403" s="755" t="str">
        <f>IF(calculations!M167,Rec!D193,IF(calculations!N167,Rec!D194,""))</f>
        <v/>
      </c>
      <c r="K403" s="756"/>
      <c r="L403" s="756"/>
      <c r="M403" s="756"/>
      <c r="N403" s="756"/>
      <c r="O403" s="756"/>
      <c r="P403" s="756"/>
      <c r="Q403" s="756"/>
      <c r="R403" s="756"/>
      <c r="S403" s="756"/>
      <c r="T403" s="756"/>
      <c r="U403" s="756"/>
      <c r="V403" s="756"/>
      <c r="W403" s="756"/>
      <c r="X403" s="756"/>
      <c r="Y403" s="756"/>
      <c r="Z403" s="756"/>
      <c r="AA403" s="756"/>
      <c r="AB403" s="756"/>
      <c r="AC403" s="756"/>
      <c r="AD403" s="756"/>
      <c r="AE403" s="756"/>
      <c r="AF403" s="756"/>
      <c r="AG403" s="756"/>
      <c r="AH403" s="756"/>
      <c r="AI403" s="756"/>
      <c r="AJ403" s="756"/>
      <c r="AK403" s="756"/>
      <c r="AL403" s="756"/>
      <c r="AM403" s="756"/>
      <c r="AN403" s="756"/>
      <c r="AO403" s="756"/>
      <c r="AP403" s="756"/>
      <c r="AQ403" s="756"/>
      <c r="AR403" s="757"/>
      <c r="AT403" s="111"/>
    </row>
    <row r="404" spans="1:48" s="110" customFormat="1" x14ac:dyDescent="0.3">
      <c r="A404" s="73"/>
      <c r="E404" s="115"/>
      <c r="F404" s="112"/>
      <c r="G404" s="129"/>
      <c r="AT404" s="111"/>
    </row>
    <row r="405" spans="1:48" s="110" customFormat="1" ht="12.75" customHeight="1" x14ac:dyDescent="0.35">
      <c r="A405" s="342" t="s">
        <v>680</v>
      </c>
      <c r="B405"/>
      <c r="C405"/>
      <c r="D405" s="288" t="s">
        <v>190</v>
      </c>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s="131"/>
      <c r="AT405" s="111"/>
      <c r="AU405" s="111"/>
      <c r="AV405" s="111"/>
    </row>
    <row r="406" spans="1:48" s="110" customFormat="1" ht="6" customHeight="1" x14ac:dyDescent="0.3">
      <c r="A406" s="343"/>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s="131"/>
      <c r="AT406" s="111"/>
      <c r="AU406" s="111"/>
      <c r="AV406" s="111"/>
    </row>
    <row r="407" spans="1:48" s="110" customFormat="1" ht="24.75" customHeight="1" x14ac:dyDescent="0.3">
      <c r="A407" s="343" t="s">
        <v>220</v>
      </c>
      <c r="B407"/>
      <c r="E407" s="115"/>
      <c r="J407" s="241"/>
      <c r="K407" s="231"/>
      <c r="L407" s="759" t="s">
        <v>1896</v>
      </c>
      <c r="M407" s="759"/>
      <c r="N407" s="759"/>
      <c r="O407" s="759"/>
      <c r="P407" s="759"/>
      <c r="Q407" s="759"/>
      <c r="R407" s="759"/>
      <c r="S407" s="759"/>
      <c r="T407" s="759"/>
      <c r="U407" s="759"/>
      <c r="V407" s="759"/>
      <c r="W407" s="759"/>
      <c r="X407" s="759"/>
      <c r="Y407" s="759"/>
      <c r="Z407" s="759"/>
      <c r="AA407" s="759"/>
      <c r="AB407" s="759"/>
      <c r="AC407" s="759"/>
      <c r="AD407" s="759"/>
      <c r="AE407" s="759"/>
      <c r="AF407" s="759"/>
      <c r="AG407" s="759"/>
      <c r="AH407" s="759"/>
      <c r="AI407" s="759"/>
      <c r="AJ407" s="759"/>
      <c r="AK407" s="759"/>
      <c r="AL407" s="759"/>
      <c r="AM407" s="759"/>
      <c r="AN407" s="759"/>
      <c r="AO407" s="759"/>
      <c r="AP407" s="759"/>
      <c r="AQ407" s="759"/>
      <c r="AR407" s="759"/>
      <c r="AS407" s="131"/>
      <c r="AT407" s="111"/>
      <c r="AU407" s="111"/>
      <c r="AV407" s="111"/>
    </row>
    <row r="408" spans="1:48" s="110" customFormat="1" ht="4.5" customHeight="1" x14ac:dyDescent="0.3">
      <c r="A408" s="343"/>
      <c r="B408"/>
      <c r="C408" s="1"/>
      <c r="D408" s="31"/>
      <c r="E408" s="32"/>
      <c r="F408" s="33"/>
      <c r="G408" s="31"/>
      <c r="H408" s="31"/>
      <c r="I408" s="31"/>
      <c r="J408" s="215"/>
      <c r="K408" s="231"/>
      <c r="L408" s="287"/>
      <c r="M408" s="287"/>
      <c r="N408" s="287"/>
      <c r="O408" s="287"/>
      <c r="P408" s="287"/>
      <c r="Q408" s="287"/>
      <c r="R408" s="287"/>
      <c r="S408" s="287"/>
      <c r="T408" s="287"/>
      <c r="U408" s="287"/>
      <c r="V408" s="287"/>
      <c r="W408" s="287"/>
      <c r="X408" s="287"/>
      <c r="Y408" s="287"/>
      <c r="Z408" s="287"/>
      <c r="AA408" s="287"/>
      <c r="AB408" s="287"/>
      <c r="AC408" s="287"/>
      <c r="AD408" s="287"/>
      <c r="AE408" s="287"/>
      <c r="AF408" s="287"/>
      <c r="AG408" s="287"/>
      <c r="AH408" s="287"/>
      <c r="AI408" s="287"/>
      <c r="AJ408" s="287"/>
      <c r="AK408" s="287"/>
      <c r="AL408" s="287"/>
      <c r="AM408" s="287"/>
      <c r="AN408" s="287"/>
      <c r="AO408" s="287"/>
      <c r="AP408" s="287"/>
      <c r="AQ408" s="287"/>
      <c r="AR408" s="287"/>
      <c r="AS408" s="131"/>
      <c r="AT408" s="111"/>
      <c r="AU408" s="111"/>
      <c r="AV408" s="111"/>
    </row>
    <row r="409" spans="1:48" s="110" customFormat="1" ht="49.5" customHeight="1" x14ac:dyDescent="0.3">
      <c r="A409" s="343" t="s">
        <v>221</v>
      </c>
      <c r="B409"/>
      <c r="C409" s="1"/>
      <c r="D409" s="31"/>
      <c r="E409" s="34"/>
      <c r="F409" s="31"/>
      <c r="G409" s="31"/>
      <c r="H409" s="31"/>
      <c r="I409" s="31"/>
      <c r="J409" s="215"/>
      <c r="K409" s="231"/>
      <c r="L409" s="759" t="s">
        <v>1897</v>
      </c>
      <c r="M409" s="759"/>
      <c r="N409" s="759"/>
      <c r="O409" s="759"/>
      <c r="P409" s="759"/>
      <c r="Q409" s="759"/>
      <c r="R409" s="759"/>
      <c r="S409" s="759"/>
      <c r="T409" s="759"/>
      <c r="U409" s="759"/>
      <c r="V409" s="759"/>
      <c r="W409" s="759"/>
      <c r="X409" s="759"/>
      <c r="Y409" s="759"/>
      <c r="Z409" s="759"/>
      <c r="AA409" s="759"/>
      <c r="AB409" s="759"/>
      <c r="AC409" s="759"/>
      <c r="AD409" s="759"/>
      <c r="AE409" s="759"/>
      <c r="AF409" s="759"/>
      <c r="AG409" s="759"/>
      <c r="AH409" s="759"/>
      <c r="AI409" s="759"/>
      <c r="AJ409" s="759"/>
      <c r="AK409" s="759"/>
      <c r="AL409" s="759"/>
      <c r="AM409" s="759"/>
      <c r="AN409" s="759"/>
      <c r="AO409" s="759"/>
      <c r="AP409" s="759"/>
      <c r="AQ409" s="759"/>
      <c r="AR409" s="759"/>
      <c r="AS409" s="131"/>
      <c r="AT409" s="111"/>
      <c r="AU409" s="111"/>
      <c r="AV409" s="111"/>
    </row>
    <row r="410" spans="1:48" s="110" customFormat="1" ht="4.5" customHeight="1" x14ac:dyDescent="0.3">
      <c r="A410" s="343"/>
      <c r="B410"/>
      <c r="C410" s="1"/>
      <c r="D410" s="31"/>
      <c r="E410" s="32"/>
      <c r="F410" s="33"/>
      <c r="G410" s="31"/>
      <c r="H410" s="31"/>
      <c r="I410" s="31"/>
      <c r="J410" s="215"/>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31"/>
      <c r="AL410" s="231"/>
      <c r="AM410" s="231"/>
      <c r="AN410" s="231"/>
      <c r="AO410" s="231"/>
      <c r="AP410" s="231"/>
      <c r="AQ410" s="231"/>
      <c r="AR410" s="231"/>
      <c r="AS410" s="131"/>
      <c r="AT410" s="111"/>
      <c r="AU410" s="111"/>
      <c r="AV410" s="111"/>
    </row>
    <row r="411" spans="1:48" s="110" customFormat="1" ht="24.75" customHeight="1" x14ac:dyDescent="0.3">
      <c r="A411" s="343" t="s">
        <v>222</v>
      </c>
      <c r="B411"/>
      <c r="C411" s="1"/>
      <c r="D411" s="31"/>
      <c r="E411" s="32"/>
      <c r="F411" s="33"/>
      <c r="G411" s="31"/>
      <c r="H411" s="31"/>
      <c r="I411" s="31"/>
      <c r="J411" s="215"/>
      <c r="K411" s="231"/>
      <c r="L411" s="759" t="s">
        <v>1755</v>
      </c>
      <c r="M411" s="759"/>
      <c r="N411" s="759"/>
      <c r="O411" s="759"/>
      <c r="P411" s="759"/>
      <c r="Q411" s="759"/>
      <c r="R411" s="759"/>
      <c r="S411" s="759"/>
      <c r="T411" s="759"/>
      <c r="U411" s="759"/>
      <c r="V411" s="759"/>
      <c r="W411" s="759"/>
      <c r="X411" s="759"/>
      <c r="Y411" s="759"/>
      <c r="Z411" s="759"/>
      <c r="AA411" s="759"/>
      <c r="AB411" s="759"/>
      <c r="AC411" s="759"/>
      <c r="AD411" s="759"/>
      <c r="AE411" s="759"/>
      <c r="AF411" s="759"/>
      <c r="AG411" s="759"/>
      <c r="AH411" s="759"/>
      <c r="AI411" s="759"/>
      <c r="AJ411" s="759"/>
      <c r="AK411" s="759"/>
      <c r="AL411" s="759"/>
      <c r="AM411" s="759"/>
      <c r="AN411" s="759"/>
      <c r="AO411" s="759"/>
      <c r="AP411" s="759"/>
      <c r="AQ411" s="759"/>
      <c r="AR411" s="759"/>
      <c r="AS411" s="131"/>
      <c r="AT411" s="111"/>
      <c r="AU411" s="111"/>
      <c r="AV411" s="111"/>
    </row>
    <row r="412" spans="1:48" s="110" customFormat="1" ht="4.5" customHeight="1" x14ac:dyDescent="0.3">
      <c r="A412" s="343"/>
      <c r="B412"/>
      <c r="C412" s="1"/>
      <c r="D412" s="31"/>
      <c r="E412" s="34"/>
      <c r="F412" s="31"/>
      <c r="G412" s="31"/>
      <c r="H412" s="31"/>
      <c r="I412" s="31"/>
      <c r="J412" s="215"/>
      <c r="K412" s="231"/>
      <c r="L412" s="231"/>
      <c r="M412" s="231"/>
      <c r="N412" s="231"/>
      <c r="O412" s="231"/>
      <c r="P412" s="231"/>
      <c r="Q412" s="231"/>
      <c r="R412" s="231"/>
      <c r="S412" s="231"/>
      <c r="T412" s="231"/>
      <c r="U412" s="231"/>
      <c r="V412" s="231"/>
      <c r="W412" s="231"/>
      <c r="X412" s="231"/>
      <c r="Y412" s="231"/>
      <c r="Z412" s="231"/>
      <c r="AA412" s="231"/>
      <c r="AB412" s="231"/>
      <c r="AC412" s="231"/>
      <c r="AD412" s="231"/>
      <c r="AE412" s="231"/>
      <c r="AF412" s="231"/>
      <c r="AG412" s="231"/>
      <c r="AH412" s="231"/>
      <c r="AI412" s="231"/>
      <c r="AJ412" s="231"/>
      <c r="AK412" s="231"/>
      <c r="AL412" s="231"/>
      <c r="AM412" s="231"/>
      <c r="AN412" s="231"/>
      <c r="AO412" s="231"/>
      <c r="AP412" s="231"/>
      <c r="AQ412" s="231"/>
      <c r="AR412" s="231"/>
      <c r="AS412" s="131"/>
      <c r="AT412" s="111"/>
      <c r="AU412" s="111"/>
      <c r="AV412" s="111"/>
    </row>
    <row r="413" spans="1:48" s="110" customFormat="1" ht="24.75" customHeight="1" x14ac:dyDescent="0.3">
      <c r="A413" s="343" t="s">
        <v>223</v>
      </c>
      <c r="B413"/>
      <c r="C413" s="1"/>
      <c r="D413" s="31"/>
      <c r="E413" s="34"/>
      <c r="F413" s="31"/>
      <c r="G413" s="31"/>
      <c r="H413" s="31"/>
      <c r="I413" s="31"/>
      <c r="J413" s="215"/>
      <c r="K413" s="231"/>
      <c r="L413" s="759" t="s">
        <v>1537</v>
      </c>
      <c r="M413" s="759"/>
      <c r="N413" s="759"/>
      <c r="O413" s="759"/>
      <c r="P413" s="759"/>
      <c r="Q413" s="759"/>
      <c r="R413" s="759"/>
      <c r="S413" s="759"/>
      <c r="T413" s="759"/>
      <c r="U413" s="759"/>
      <c r="V413" s="759"/>
      <c r="W413" s="759"/>
      <c r="X413" s="759"/>
      <c r="Y413" s="759"/>
      <c r="Z413" s="759"/>
      <c r="AA413" s="759"/>
      <c r="AB413" s="759"/>
      <c r="AC413" s="759"/>
      <c r="AD413" s="759"/>
      <c r="AE413" s="759"/>
      <c r="AF413" s="759"/>
      <c r="AG413" s="759"/>
      <c r="AH413" s="759"/>
      <c r="AI413" s="759"/>
      <c r="AJ413" s="759"/>
      <c r="AK413" s="759"/>
      <c r="AL413" s="759"/>
      <c r="AM413" s="759"/>
      <c r="AN413" s="759"/>
      <c r="AO413" s="759"/>
      <c r="AP413" s="759"/>
      <c r="AQ413" s="759"/>
      <c r="AR413" s="759"/>
      <c r="AS413" s="131"/>
      <c r="AT413" s="111"/>
      <c r="AU413" s="111"/>
      <c r="AV413" s="111"/>
    </row>
    <row r="414" spans="1:48" s="110" customFormat="1" ht="4.5" customHeight="1" x14ac:dyDescent="0.3">
      <c r="A414" s="343"/>
      <c r="B414"/>
      <c r="C414" s="1"/>
      <c r="D414" s="31"/>
      <c r="E414" s="32"/>
      <c r="F414" s="33"/>
      <c r="G414" s="31"/>
      <c r="H414" s="31"/>
      <c r="I414" s="31"/>
      <c r="J414" s="215"/>
      <c r="K414" s="231"/>
      <c r="L414" s="231"/>
      <c r="M414" s="231"/>
      <c r="N414" s="231"/>
      <c r="O414" s="231"/>
      <c r="P414" s="231"/>
      <c r="Q414" s="231"/>
      <c r="R414" s="231"/>
      <c r="S414" s="231"/>
      <c r="T414" s="231"/>
      <c r="U414" s="231"/>
      <c r="V414" s="231"/>
      <c r="W414" s="231"/>
      <c r="X414" s="231"/>
      <c r="Y414" s="231"/>
      <c r="Z414" s="231"/>
      <c r="AA414" s="231"/>
      <c r="AB414" s="231"/>
      <c r="AC414" s="231"/>
      <c r="AD414" s="231"/>
      <c r="AE414" s="231"/>
      <c r="AF414" s="231"/>
      <c r="AG414" s="231"/>
      <c r="AH414" s="231"/>
      <c r="AI414" s="231"/>
      <c r="AJ414" s="231"/>
      <c r="AK414" s="231"/>
      <c r="AL414" s="231"/>
      <c r="AM414" s="231"/>
      <c r="AN414" s="231"/>
      <c r="AO414" s="231"/>
      <c r="AP414" s="231"/>
      <c r="AQ414" s="231"/>
      <c r="AR414" s="231"/>
      <c r="AS414" s="131"/>
      <c r="AT414" s="111"/>
      <c r="AU414" s="111"/>
      <c r="AV414" s="111"/>
    </row>
    <row r="415" spans="1:48" s="110" customFormat="1" ht="24" customHeight="1" x14ac:dyDescent="0.3">
      <c r="A415" s="343" t="s">
        <v>224</v>
      </c>
      <c r="B415"/>
      <c r="C415" s="1"/>
      <c r="D415" s="1"/>
      <c r="E415" s="35"/>
      <c r="F415" s="1"/>
      <c r="G415" s="1"/>
      <c r="H415" s="1"/>
      <c r="I415" s="1"/>
      <c r="J415" s="214"/>
      <c r="K415" s="231"/>
      <c r="L415" s="759" t="s">
        <v>1192</v>
      </c>
      <c r="M415" s="759"/>
      <c r="N415" s="759"/>
      <c r="O415" s="759"/>
      <c r="P415" s="759"/>
      <c r="Q415" s="759"/>
      <c r="R415" s="759"/>
      <c r="S415" s="759"/>
      <c r="T415" s="759"/>
      <c r="U415" s="759"/>
      <c r="V415" s="759"/>
      <c r="W415" s="759"/>
      <c r="X415" s="759"/>
      <c r="Y415" s="759"/>
      <c r="Z415" s="759"/>
      <c r="AA415" s="759"/>
      <c r="AB415" s="759"/>
      <c r="AC415" s="759"/>
      <c r="AD415" s="759"/>
      <c r="AE415" s="759"/>
      <c r="AF415" s="759"/>
      <c r="AG415" s="759"/>
      <c r="AH415" s="759"/>
      <c r="AI415" s="759"/>
      <c r="AJ415" s="759"/>
      <c r="AK415" s="759"/>
      <c r="AL415" s="759"/>
      <c r="AM415" s="759"/>
      <c r="AN415" s="759"/>
      <c r="AO415" s="759"/>
      <c r="AP415" s="759"/>
      <c r="AQ415" s="759"/>
      <c r="AR415" s="759"/>
      <c r="AS415" s="131"/>
      <c r="AT415" s="111"/>
      <c r="AU415" s="111"/>
      <c r="AV415" s="111"/>
    </row>
    <row r="416" spans="1:48" s="110" customFormat="1" ht="4.5" customHeight="1" x14ac:dyDescent="0.3">
      <c r="A416" s="73"/>
      <c r="B416"/>
      <c r="C416" s="1"/>
      <c r="D416" s="1"/>
      <c r="E416" s="11"/>
      <c r="F416" s="3"/>
      <c r="G416" s="1"/>
      <c r="H416" s="1"/>
      <c r="I416" s="1"/>
      <c r="J416" s="214"/>
      <c r="K416" s="231"/>
      <c r="L416" s="231"/>
      <c r="M416" s="231"/>
      <c r="N416" s="231"/>
      <c r="O416" s="231"/>
      <c r="P416" s="231"/>
      <c r="Q416" s="231"/>
      <c r="R416" s="231"/>
      <c r="S416" s="231"/>
      <c r="T416" s="231"/>
      <c r="U416" s="231"/>
      <c r="V416" s="231"/>
      <c r="W416" s="231"/>
      <c r="X416" s="231"/>
      <c r="Y416" s="231"/>
      <c r="Z416" s="231"/>
      <c r="AA416" s="231"/>
      <c r="AB416" s="231"/>
      <c r="AC416" s="231"/>
      <c r="AD416" s="231"/>
      <c r="AE416" s="231"/>
      <c r="AF416" s="231"/>
      <c r="AG416" s="231"/>
      <c r="AH416" s="231"/>
      <c r="AI416" s="231"/>
      <c r="AJ416" s="231"/>
      <c r="AK416" s="231"/>
      <c r="AL416" s="231"/>
      <c r="AM416" s="231"/>
      <c r="AN416" s="231"/>
      <c r="AO416" s="231"/>
      <c r="AP416" s="231"/>
      <c r="AQ416" s="231"/>
      <c r="AR416" s="231"/>
      <c r="AS416" s="131"/>
      <c r="AT416" s="111"/>
      <c r="AU416" s="111"/>
      <c r="AV416" s="111"/>
    </row>
    <row r="417" spans="1:48" s="110" customFormat="1" ht="12.75" customHeight="1" x14ac:dyDescent="0.3">
      <c r="A417" s="73"/>
      <c r="B417"/>
      <c r="C417"/>
      <c r="D417"/>
      <c r="E417"/>
      <c r="F417" s="116" t="s">
        <v>700</v>
      </c>
      <c r="G417"/>
      <c r="H417"/>
      <c r="I417"/>
      <c r="J417" s="755" t="str">
        <f>IF(calculations!M168,"describe corrective action proposed to correct any Red Flag or Yellow Flag ranking",IF(calculations!N168,"describe corrective action proposed to correct any Red Flag or Yellow Flag ranking",""))</f>
        <v/>
      </c>
      <c r="K417" s="756"/>
      <c r="L417" s="756"/>
      <c r="M417" s="756"/>
      <c r="N417" s="756"/>
      <c r="O417" s="756"/>
      <c r="P417" s="756"/>
      <c r="Q417" s="756"/>
      <c r="R417" s="756"/>
      <c r="S417" s="756"/>
      <c r="T417" s="756"/>
      <c r="U417" s="756"/>
      <c r="V417" s="756"/>
      <c r="W417" s="756"/>
      <c r="X417" s="756"/>
      <c r="Y417" s="756"/>
      <c r="Z417" s="756"/>
      <c r="AA417" s="756"/>
      <c r="AB417" s="756"/>
      <c r="AC417" s="756"/>
      <c r="AD417" s="756"/>
      <c r="AE417" s="756"/>
      <c r="AF417" s="756"/>
      <c r="AG417" s="756"/>
      <c r="AH417" s="756"/>
      <c r="AI417" s="756"/>
      <c r="AJ417" s="756"/>
      <c r="AK417" s="756"/>
      <c r="AL417" s="756"/>
      <c r="AM417" s="756"/>
      <c r="AN417" s="756"/>
      <c r="AO417" s="756"/>
      <c r="AP417" s="756"/>
      <c r="AQ417" s="756"/>
      <c r="AR417" s="757"/>
      <c r="AS417" s="131"/>
      <c r="AT417" s="111"/>
      <c r="AU417" s="111"/>
      <c r="AV417" s="111"/>
    </row>
    <row r="418" spans="1:48" s="110" customFormat="1" ht="4.5" customHeight="1" x14ac:dyDescent="0.3">
      <c r="A418" s="73"/>
      <c r="B418"/>
      <c r="C418"/>
      <c r="D418"/>
      <c r="E418"/>
      <c r="F418"/>
      <c r="G418"/>
      <c r="H418"/>
      <c r="I418"/>
      <c r="J418" s="231"/>
      <c r="K418" s="231"/>
      <c r="L418" s="231"/>
      <c r="M418" s="231"/>
      <c r="N418" s="231"/>
      <c r="O418" s="231"/>
      <c r="P418" s="231"/>
      <c r="Q418" s="231"/>
      <c r="R418" s="231"/>
      <c r="S418" s="231"/>
      <c r="T418" s="231"/>
      <c r="U418" s="231"/>
      <c r="V418" s="231"/>
      <c r="W418" s="231"/>
      <c r="X418" s="231"/>
      <c r="Y418" s="231"/>
      <c r="Z418" s="231"/>
      <c r="AA418" s="231"/>
      <c r="AB418" s="231"/>
      <c r="AC418" s="231"/>
      <c r="AD418" s="231"/>
      <c r="AE418" s="231"/>
      <c r="AF418" s="231"/>
      <c r="AG418" s="231"/>
      <c r="AH418" s="231"/>
      <c r="AI418" s="231"/>
      <c r="AJ418" s="231"/>
      <c r="AK418" s="231"/>
      <c r="AL418" s="231"/>
      <c r="AM418" s="231"/>
      <c r="AN418" s="231"/>
      <c r="AO418" s="231"/>
      <c r="AP418" s="231"/>
      <c r="AQ418" s="231"/>
      <c r="AR418" s="231"/>
      <c r="AS418" s="131"/>
      <c r="AT418" s="111"/>
      <c r="AU418" s="111"/>
      <c r="AV418" s="111"/>
    </row>
    <row r="419" spans="1:48" s="110" customFormat="1" ht="37.5" customHeight="1" x14ac:dyDescent="0.3">
      <c r="A419" s="73"/>
      <c r="B419"/>
      <c r="C419"/>
      <c r="D419"/>
      <c r="E419"/>
      <c r="F419" s="114" t="str">
        <f>IF(calculations!G168=4,"OFE",IF(calculations!G168=5,"REC",IF(J435&gt;"","RECS","")))</f>
        <v/>
      </c>
      <c r="G419"/>
      <c r="H419"/>
      <c r="I419"/>
      <c r="J419" s="755" t="str">
        <f>IF(calculations!M168,CONCATENATE("OFE:  ",Rec!D195),IF(calculations!N168,Rec!D196,""))</f>
        <v/>
      </c>
      <c r="K419" s="756"/>
      <c r="L419" s="756"/>
      <c r="M419" s="756"/>
      <c r="N419" s="756"/>
      <c r="O419" s="756"/>
      <c r="P419" s="756"/>
      <c r="Q419" s="756"/>
      <c r="R419" s="756"/>
      <c r="S419" s="756"/>
      <c r="T419" s="756"/>
      <c r="U419" s="756"/>
      <c r="V419" s="756"/>
      <c r="W419" s="756"/>
      <c r="X419" s="756"/>
      <c r="Y419" s="756"/>
      <c r="Z419" s="756"/>
      <c r="AA419" s="756"/>
      <c r="AB419" s="756"/>
      <c r="AC419" s="756"/>
      <c r="AD419" s="756"/>
      <c r="AE419" s="756"/>
      <c r="AF419" s="756"/>
      <c r="AG419" s="756"/>
      <c r="AH419" s="756"/>
      <c r="AI419" s="756"/>
      <c r="AJ419" s="756"/>
      <c r="AK419" s="756"/>
      <c r="AL419" s="756"/>
      <c r="AM419" s="756"/>
      <c r="AN419" s="756"/>
      <c r="AO419" s="756"/>
      <c r="AP419" s="756"/>
      <c r="AQ419" s="756"/>
      <c r="AR419" s="757"/>
      <c r="AS419" s="131"/>
      <c r="AT419" s="111"/>
      <c r="AU419" s="111"/>
      <c r="AV419" s="111"/>
    </row>
    <row r="420" spans="1:48" s="110" customFormat="1" ht="12.75" customHeight="1" x14ac:dyDescent="0.3">
      <c r="A420" s="73"/>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s="131"/>
      <c r="AT420" s="111"/>
      <c r="AU420" s="111"/>
      <c r="AV420" s="111"/>
    </row>
    <row r="421" spans="1:48" s="110" customFormat="1" ht="12.75" customHeight="1" x14ac:dyDescent="0.35">
      <c r="A421" s="342" t="s">
        <v>873</v>
      </c>
      <c r="B421"/>
      <c r="C421"/>
      <c r="D421" s="120" t="s">
        <v>179</v>
      </c>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s="131"/>
      <c r="AT421" s="111"/>
      <c r="AU421" s="111"/>
      <c r="AV421" s="111"/>
    </row>
    <row r="422" spans="1:48" s="110" customFormat="1" ht="4.5" customHeight="1" x14ac:dyDescent="0.3">
      <c r="A422" s="343"/>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s="131"/>
      <c r="AT422" s="111"/>
      <c r="AU422" s="111"/>
      <c r="AV422" s="111"/>
    </row>
    <row r="423" spans="1:48" s="110" customFormat="1" ht="12.75" customHeight="1" x14ac:dyDescent="0.3">
      <c r="A423" s="343" t="s">
        <v>226</v>
      </c>
      <c r="B423"/>
      <c r="E423" s="115"/>
      <c r="J423" s="241"/>
      <c r="K423" s="231"/>
      <c r="L423" s="759" t="s">
        <v>1538</v>
      </c>
      <c r="M423" s="759"/>
      <c r="N423" s="759"/>
      <c r="O423" s="759"/>
      <c r="P423" s="759"/>
      <c r="Q423" s="759"/>
      <c r="R423" s="759"/>
      <c r="S423" s="759"/>
      <c r="T423" s="759"/>
      <c r="U423" s="759"/>
      <c r="V423" s="759"/>
      <c r="W423" s="759"/>
      <c r="X423" s="759"/>
      <c r="Y423" s="759"/>
      <c r="Z423" s="759"/>
      <c r="AA423" s="759"/>
      <c r="AB423" s="759"/>
      <c r="AC423" s="759"/>
      <c r="AD423" s="759"/>
      <c r="AE423" s="759"/>
      <c r="AF423" s="759"/>
      <c r="AG423" s="759"/>
      <c r="AH423" s="759"/>
      <c r="AI423" s="759"/>
      <c r="AJ423" s="759"/>
      <c r="AK423" s="759"/>
      <c r="AL423" s="759"/>
      <c r="AM423" s="759"/>
      <c r="AN423" s="759"/>
      <c r="AO423" s="759"/>
      <c r="AP423" s="759"/>
      <c r="AQ423" s="759"/>
      <c r="AR423" s="759"/>
      <c r="AS423" s="131"/>
      <c r="AT423" s="111"/>
      <c r="AU423" s="111"/>
      <c r="AV423" s="111"/>
    </row>
    <row r="424" spans="1:48" s="110" customFormat="1" ht="4.5" customHeight="1" x14ac:dyDescent="0.3">
      <c r="A424" s="343"/>
      <c r="B424"/>
      <c r="C424" s="1"/>
      <c r="D424" s="31"/>
      <c r="E424" s="32"/>
      <c r="F424" s="33"/>
      <c r="G424" s="31"/>
      <c r="H424" s="31"/>
      <c r="I424" s="31"/>
      <c r="J424" s="215"/>
      <c r="K424" s="231"/>
      <c r="L424" s="231"/>
      <c r="M424" s="231"/>
      <c r="N424" s="231"/>
      <c r="O424" s="231"/>
      <c r="P424" s="231"/>
      <c r="Q424" s="231"/>
      <c r="R424" s="231"/>
      <c r="S424" s="231"/>
      <c r="T424" s="231"/>
      <c r="U424" s="231"/>
      <c r="V424" s="231"/>
      <c r="W424" s="231"/>
      <c r="X424" s="231"/>
      <c r="Y424" s="231"/>
      <c r="Z424" s="231"/>
      <c r="AA424" s="231"/>
      <c r="AB424" s="231"/>
      <c r="AC424" s="231"/>
      <c r="AD424" s="231"/>
      <c r="AE424" s="231"/>
      <c r="AF424" s="231"/>
      <c r="AG424" s="231"/>
      <c r="AH424" s="231"/>
      <c r="AI424" s="231"/>
      <c r="AJ424" s="231"/>
      <c r="AK424" s="231"/>
      <c r="AL424" s="231"/>
      <c r="AM424" s="231"/>
      <c r="AN424" s="231"/>
      <c r="AO424" s="231"/>
      <c r="AP424" s="231"/>
      <c r="AQ424" s="231"/>
      <c r="AR424" s="231"/>
      <c r="AS424" s="131"/>
      <c r="AT424" s="111"/>
      <c r="AU424" s="111"/>
      <c r="AV424" s="111"/>
    </row>
    <row r="425" spans="1:48" s="110" customFormat="1" ht="36" customHeight="1" x14ac:dyDescent="0.3">
      <c r="A425" s="343" t="s">
        <v>227</v>
      </c>
      <c r="B425"/>
      <c r="C425" s="1"/>
      <c r="D425" s="31"/>
      <c r="E425" s="34"/>
      <c r="F425" s="31"/>
      <c r="G425" s="31"/>
      <c r="H425" s="31"/>
      <c r="I425" s="31"/>
      <c r="J425" s="215"/>
      <c r="K425" s="231"/>
      <c r="L425" s="759" t="s">
        <v>1898</v>
      </c>
      <c r="M425" s="759"/>
      <c r="N425" s="759"/>
      <c r="O425" s="759"/>
      <c r="P425" s="759"/>
      <c r="Q425" s="759"/>
      <c r="R425" s="759"/>
      <c r="S425" s="759"/>
      <c r="T425" s="759"/>
      <c r="U425" s="759"/>
      <c r="V425" s="759"/>
      <c r="W425" s="759"/>
      <c r="X425" s="759"/>
      <c r="Y425" s="759"/>
      <c r="Z425" s="759"/>
      <c r="AA425" s="759"/>
      <c r="AB425" s="759"/>
      <c r="AC425" s="759"/>
      <c r="AD425" s="759"/>
      <c r="AE425" s="759"/>
      <c r="AF425" s="759"/>
      <c r="AG425" s="759"/>
      <c r="AH425" s="759"/>
      <c r="AI425" s="759"/>
      <c r="AJ425" s="759"/>
      <c r="AK425" s="759"/>
      <c r="AL425" s="759"/>
      <c r="AM425" s="759"/>
      <c r="AN425" s="759"/>
      <c r="AO425" s="759"/>
      <c r="AP425" s="759"/>
      <c r="AQ425" s="759"/>
      <c r="AR425" s="759"/>
      <c r="AS425" s="131"/>
      <c r="AT425" s="111"/>
      <c r="AU425" s="111"/>
      <c r="AV425" s="111"/>
    </row>
    <row r="426" spans="1:48" s="110" customFormat="1" ht="4.5" customHeight="1" x14ac:dyDescent="0.3">
      <c r="A426" s="343"/>
      <c r="B426"/>
      <c r="C426" s="1"/>
      <c r="D426" s="31"/>
      <c r="E426" s="32"/>
      <c r="F426" s="33"/>
      <c r="G426" s="31"/>
      <c r="H426" s="31"/>
      <c r="I426" s="31"/>
      <c r="J426" s="215"/>
      <c r="K426" s="231"/>
      <c r="L426" s="231"/>
      <c r="M426" s="231"/>
      <c r="N426" s="231"/>
      <c r="O426" s="231"/>
      <c r="P426" s="231"/>
      <c r="Q426" s="231"/>
      <c r="R426" s="231"/>
      <c r="S426" s="231"/>
      <c r="T426" s="231"/>
      <c r="U426" s="231"/>
      <c r="V426" s="231"/>
      <c r="W426" s="231"/>
      <c r="X426" s="231"/>
      <c r="Y426" s="231"/>
      <c r="Z426" s="231"/>
      <c r="AA426" s="231"/>
      <c r="AB426" s="231"/>
      <c r="AC426" s="231"/>
      <c r="AD426" s="231"/>
      <c r="AE426" s="231"/>
      <c r="AF426" s="231"/>
      <c r="AG426" s="231"/>
      <c r="AH426" s="231"/>
      <c r="AI426" s="231"/>
      <c r="AJ426" s="231"/>
      <c r="AK426" s="231"/>
      <c r="AL426" s="231"/>
      <c r="AM426" s="231"/>
      <c r="AN426" s="231"/>
      <c r="AO426" s="231"/>
      <c r="AP426" s="231"/>
      <c r="AQ426" s="231"/>
      <c r="AR426" s="231"/>
      <c r="AS426" s="131"/>
      <c r="AT426" s="111"/>
      <c r="AU426" s="111"/>
      <c r="AV426" s="111"/>
    </row>
    <row r="427" spans="1:48" s="110" customFormat="1" ht="26.25" customHeight="1" x14ac:dyDescent="0.3">
      <c r="A427" s="343" t="s">
        <v>228</v>
      </c>
      <c r="B427"/>
      <c r="C427" s="1"/>
      <c r="D427" s="31"/>
      <c r="E427" s="32"/>
      <c r="F427" s="33"/>
      <c r="G427" s="31"/>
      <c r="H427" s="31"/>
      <c r="I427" s="31"/>
      <c r="J427" s="215"/>
      <c r="K427" s="231"/>
      <c r="L427" s="759" t="s">
        <v>1899</v>
      </c>
      <c r="M427" s="759"/>
      <c r="N427" s="759"/>
      <c r="O427" s="759"/>
      <c r="P427" s="759"/>
      <c r="Q427" s="759"/>
      <c r="R427" s="759"/>
      <c r="S427" s="759"/>
      <c r="T427" s="759"/>
      <c r="U427" s="759"/>
      <c r="V427" s="759"/>
      <c r="W427" s="759"/>
      <c r="X427" s="759"/>
      <c r="Y427" s="759"/>
      <c r="Z427" s="759"/>
      <c r="AA427" s="759"/>
      <c r="AB427" s="759"/>
      <c r="AC427" s="759"/>
      <c r="AD427" s="759"/>
      <c r="AE427" s="759"/>
      <c r="AF427" s="759"/>
      <c r="AG427" s="759"/>
      <c r="AH427" s="759"/>
      <c r="AI427" s="759"/>
      <c r="AJ427" s="759"/>
      <c r="AK427" s="759"/>
      <c r="AL427" s="759"/>
      <c r="AM427" s="759"/>
      <c r="AN427" s="759"/>
      <c r="AO427" s="759"/>
      <c r="AP427" s="759"/>
      <c r="AQ427" s="759"/>
      <c r="AR427" s="759"/>
      <c r="AS427" s="131"/>
      <c r="AT427" s="111"/>
      <c r="AU427" s="111"/>
      <c r="AV427" s="111"/>
    </row>
    <row r="428" spans="1:48" s="110" customFormat="1" ht="4.5" customHeight="1" x14ac:dyDescent="0.3">
      <c r="A428" s="343"/>
      <c r="B428"/>
      <c r="C428" s="1"/>
      <c r="D428" s="31"/>
      <c r="E428" s="34"/>
      <c r="F428" s="31"/>
      <c r="G428" s="31"/>
      <c r="H428" s="31"/>
      <c r="I428" s="31"/>
      <c r="J428" s="215"/>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31"/>
      <c r="AL428" s="231"/>
      <c r="AM428" s="231"/>
      <c r="AN428" s="231"/>
      <c r="AO428" s="231"/>
      <c r="AP428" s="231"/>
      <c r="AQ428" s="231"/>
      <c r="AR428" s="231"/>
      <c r="AS428" s="131"/>
      <c r="AT428" s="111"/>
      <c r="AU428" s="111"/>
      <c r="AV428" s="111"/>
    </row>
    <row r="429" spans="1:48" s="110" customFormat="1" ht="24.75" customHeight="1" x14ac:dyDescent="0.3">
      <c r="A429" s="343" t="s">
        <v>229</v>
      </c>
      <c r="B429"/>
      <c r="C429" s="1"/>
      <c r="D429" s="31"/>
      <c r="E429" s="34"/>
      <c r="F429" s="31"/>
      <c r="G429" s="31"/>
      <c r="H429" s="31"/>
      <c r="I429" s="31"/>
      <c r="J429" s="215"/>
      <c r="K429" s="231"/>
      <c r="L429" s="759" t="s">
        <v>1540</v>
      </c>
      <c r="M429" s="759"/>
      <c r="N429" s="759"/>
      <c r="O429" s="759"/>
      <c r="P429" s="759"/>
      <c r="Q429" s="759"/>
      <c r="R429" s="759"/>
      <c r="S429" s="759"/>
      <c r="T429" s="759"/>
      <c r="U429" s="759"/>
      <c r="V429" s="759"/>
      <c r="W429" s="759"/>
      <c r="X429" s="759"/>
      <c r="Y429" s="759"/>
      <c r="Z429" s="759"/>
      <c r="AA429" s="759"/>
      <c r="AB429" s="759"/>
      <c r="AC429" s="759"/>
      <c r="AD429" s="759"/>
      <c r="AE429" s="759"/>
      <c r="AF429" s="759"/>
      <c r="AG429" s="759"/>
      <c r="AH429" s="759"/>
      <c r="AI429" s="759"/>
      <c r="AJ429" s="759"/>
      <c r="AK429" s="759"/>
      <c r="AL429" s="759"/>
      <c r="AM429" s="759"/>
      <c r="AN429" s="759"/>
      <c r="AO429" s="759"/>
      <c r="AP429" s="759"/>
      <c r="AQ429" s="759"/>
      <c r="AR429" s="759"/>
      <c r="AS429" s="131"/>
      <c r="AT429" s="111"/>
      <c r="AU429" s="111"/>
      <c r="AV429" s="111"/>
    </row>
    <row r="430" spans="1:48" s="110" customFormat="1" ht="4.5" customHeight="1" x14ac:dyDescent="0.3">
      <c r="A430" s="343"/>
      <c r="B430"/>
      <c r="C430" s="1"/>
      <c r="D430" s="31"/>
      <c r="E430" s="32"/>
      <c r="F430" s="33"/>
      <c r="G430" s="31"/>
      <c r="H430" s="31"/>
      <c r="I430" s="31"/>
      <c r="J430" s="215"/>
      <c r="K430" s="231"/>
      <c r="L430" s="231"/>
      <c r="M430" s="231"/>
      <c r="N430" s="231"/>
      <c r="O430" s="231"/>
      <c r="P430" s="231"/>
      <c r="Q430" s="231"/>
      <c r="R430" s="231"/>
      <c r="S430" s="231"/>
      <c r="T430" s="231"/>
      <c r="U430" s="231"/>
      <c r="V430" s="231"/>
      <c r="W430" s="231"/>
      <c r="X430" s="231"/>
      <c r="Y430" s="231"/>
      <c r="Z430" s="231"/>
      <c r="AA430" s="231"/>
      <c r="AB430" s="231"/>
      <c r="AC430" s="231"/>
      <c r="AD430" s="231"/>
      <c r="AE430" s="231"/>
      <c r="AF430" s="231"/>
      <c r="AG430" s="231"/>
      <c r="AH430" s="231"/>
      <c r="AI430" s="231"/>
      <c r="AJ430" s="231"/>
      <c r="AK430" s="231"/>
      <c r="AL430" s="231"/>
      <c r="AM430" s="231"/>
      <c r="AN430" s="231"/>
      <c r="AO430" s="231"/>
      <c r="AP430" s="231"/>
      <c r="AQ430" s="231"/>
      <c r="AR430" s="231"/>
      <c r="AS430" s="131"/>
      <c r="AT430" s="111"/>
      <c r="AU430" s="111"/>
      <c r="AV430" s="111"/>
    </row>
    <row r="431" spans="1:48" s="110" customFormat="1" ht="24.75" customHeight="1" x14ac:dyDescent="0.3">
      <c r="A431" s="343" t="s">
        <v>230</v>
      </c>
      <c r="B431"/>
      <c r="C431" s="1"/>
      <c r="D431" s="1"/>
      <c r="E431" s="35"/>
      <c r="F431" s="1"/>
      <c r="G431" s="1"/>
      <c r="H431" s="1"/>
      <c r="I431" s="1"/>
      <c r="J431" s="214"/>
      <c r="K431" s="231"/>
      <c r="L431" s="759" t="s">
        <v>1195</v>
      </c>
      <c r="M431" s="759"/>
      <c r="N431" s="759"/>
      <c r="O431" s="759"/>
      <c r="P431" s="759"/>
      <c r="Q431" s="759"/>
      <c r="R431" s="759"/>
      <c r="S431" s="759"/>
      <c r="T431" s="759"/>
      <c r="U431" s="759"/>
      <c r="V431" s="759"/>
      <c r="W431" s="759"/>
      <c r="X431" s="759"/>
      <c r="Y431" s="759"/>
      <c r="Z431" s="759"/>
      <c r="AA431" s="759"/>
      <c r="AB431" s="759"/>
      <c r="AC431" s="759"/>
      <c r="AD431" s="759"/>
      <c r="AE431" s="759"/>
      <c r="AF431" s="759"/>
      <c r="AG431" s="759"/>
      <c r="AH431" s="759"/>
      <c r="AI431" s="759"/>
      <c r="AJ431" s="759"/>
      <c r="AK431" s="759"/>
      <c r="AL431" s="759"/>
      <c r="AM431" s="759"/>
      <c r="AN431" s="759"/>
      <c r="AO431" s="759"/>
      <c r="AP431" s="759"/>
      <c r="AQ431" s="759"/>
      <c r="AR431" s="759"/>
      <c r="AS431" s="131"/>
      <c r="AT431" s="111"/>
      <c r="AU431" s="111"/>
      <c r="AV431" s="111"/>
    </row>
    <row r="432" spans="1:48" s="110" customFormat="1" ht="4.5" customHeight="1" x14ac:dyDescent="0.3">
      <c r="B432"/>
      <c r="C432" s="1"/>
      <c r="D432" s="1"/>
      <c r="E432" s="11"/>
      <c r="F432" s="3"/>
      <c r="G432" s="1"/>
      <c r="H432" s="1"/>
      <c r="I432" s="1"/>
      <c r="J432" s="214"/>
      <c r="K432" s="231"/>
      <c r="L432" s="231"/>
      <c r="M432" s="231"/>
      <c r="N432" s="231"/>
      <c r="O432" s="231"/>
      <c r="P432" s="231"/>
      <c r="Q432" s="231"/>
      <c r="R432" s="231"/>
      <c r="S432" s="231"/>
      <c r="T432" s="231"/>
      <c r="U432" s="231"/>
      <c r="V432" s="231"/>
      <c r="W432" s="231"/>
      <c r="X432" s="231"/>
      <c r="Y432" s="231"/>
      <c r="Z432" s="231"/>
      <c r="AA432" s="231"/>
      <c r="AB432" s="231"/>
      <c r="AC432" s="231"/>
      <c r="AD432" s="231"/>
      <c r="AE432" s="231"/>
      <c r="AF432" s="231"/>
      <c r="AG432" s="231"/>
      <c r="AH432" s="231"/>
      <c r="AI432" s="231"/>
      <c r="AJ432" s="231"/>
      <c r="AK432" s="231"/>
      <c r="AL432" s="231"/>
      <c r="AM432" s="231"/>
      <c r="AN432" s="231"/>
      <c r="AO432" s="231"/>
      <c r="AP432" s="231"/>
      <c r="AQ432" s="231"/>
      <c r="AR432" s="231"/>
      <c r="AS432" s="131"/>
      <c r="AT432" s="111"/>
      <c r="AU432" s="111"/>
      <c r="AV432" s="111"/>
    </row>
    <row r="433" spans="1:48" s="110" customFormat="1" ht="12.75" customHeight="1" x14ac:dyDescent="0.3">
      <c r="B433"/>
      <c r="C433"/>
      <c r="D433"/>
      <c r="E433"/>
      <c r="F433" s="116" t="s">
        <v>700</v>
      </c>
      <c r="G433"/>
      <c r="H433"/>
      <c r="I433"/>
      <c r="J433" s="755" t="str">
        <f>IF(calculations!M169,"describe corrective action proposed to correct any Red Flag or Yellow Flag ranking",IF(calculations!N169,"describe corrective action proposed to correct any Red Flag or Yellow Flag ranking",""))</f>
        <v/>
      </c>
      <c r="K433" s="756"/>
      <c r="L433" s="756"/>
      <c r="M433" s="756"/>
      <c r="N433" s="756"/>
      <c r="O433" s="756"/>
      <c r="P433" s="756"/>
      <c r="Q433" s="756"/>
      <c r="R433" s="756"/>
      <c r="S433" s="756"/>
      <c r="T433" s="756"/>
      <c r="U433" s="756"/>
      <c r="V433" s="756"/>
      <c r="W433" s="756"/>
      <c r="X433" s="756"/>
      <c r="Y433" s="756"/>
      <c r="Z433" s="756"/>
      <c r="AA433" s="756"/>
      <c r="AB433" s="756"/>
      <c r="AC433" s="756"/>
      <c r="AD433" s="756"/>
      <c r="AE433" s="756"/>
      <c r="AF433" s="756"/>
      <c r="AG433" s="756"/>
      <c r="AH433" s="756"/>
      <c r="AI433" s="756"/>
      <c r="AJ433" s="756"/>
      <c r="AK433" s="756"/>
      <c r="AL433" s="756"/>
      <c r="AM433" s="756"/>
      <c r="AN433" s="756"/>
      <c r="AO433" s="756"/>
      <c r="AP433" s="756"/>
      <c r="AQ433" s="756"/>
      <c r="AR433" s="757"/>
      <c r="AS433" s="131"/>
      <c r="AT433" s="111"/>
      <c r="AU433" s="111"/>
      <c r="AV433" s="111"/>
    </row>
    <row r="434" spans="1:48" s="110" customFormat="1" ht="4.5" customHeight="1" x14ac:dyDescent="0.3">
      <c r="B434"/>
      <c r="C434"/>
      <c r="D434"/>
      <c r="E434"/>
      <c r="F434"/>
      <c r="G434"/>
      <c r="H434"/>
      <c r="I434"/>
      <c r="J434" s="231"/>
      <c r="K434" s="231"/>
      <c r="L434" s="231"/>
      <c r="M434" s="231"/>
      <c r="N434" s="231"/>
      <c r="O434" s="231"/>
      <c r="P434" s="231"/>
      <c r="Q434" s="231"/>
      <c r="R434" s="231"/>
      <c r="S434" s="231"/>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131"/>
      <c r="AT434" s="111"/>
      <c r="AU434" s="111"/>
      <c r="AV434" s="111"/>
    </row>
    <row r="435" spans="1:48" s="110" customFormat="1" ht="25.5" customHeight="1" x14ac:dyDescent="0.3">
      <c r="B435"/>
      <c r="C435"/>
      <c r="D435"/>
      <c r="E435"/>
      <c r="F435" s="114" t="str">
        <f>IF(calculations!G169=4,"OFE",IF(calculations!G169=5,"REC",IF(J435&gt;"","RECS","")))</f>
        <v/>
      </c>
      <c r="G435"/>
      <c r="H435"/>
      <c r="I435"/>
      <c r="J435" s="755" t="str">
        <f>IF(calculations!M169,CONCATENATE("OFE:  ",Rec!D197),IF(calculations!N169,Rec!D198,""))</f>
        <v/>
      </c>
      <c r="K435" s="756"/>
      <c r="L435" s="756"/>
      <c r="M435" s="756"/>
      <c r="N435" s="756"/>
      <c r="O435" s="756"/>
      <c r="P435" s="756"/>
      <c r="Q435" s="756"/>
      <c r="R435" s="756"/>
      <c r="S435" s="756"/>
      <c r="T435" s="756"/>
      <c r="U435" s="756"/>
      <c r="V435" s="756"/>
      <c r="W435" s="756"/>
      <c r="X435" s="756"/>
      <c r="Y435" s="756"/>
      <c r="Z435" s="756"/>
      <c r="AA435" s="756"/>
      <c r="AB435" s="756"/>
      <c r="AC435" s="756"/>
      <c r="AD435" s="756"/>
      <c r="AE435" s="756"/>
      <c r="AF435" s="756"/>
      <c r="AG435" s="756"/>
      <c r="AH435" s="756"/>
      <c r="AI435" s="756"/>
      <c r="AJ435" s="756"/>
      <c r="AK435" s="756"/>
      <c r="AL435" s="756"/>
      <c r="AM435" s="756"/>
      <c r="AN435" s="756"/>
      <c r="AO435" s="756"/>
      <c r="AP435" s="756"/>
      <c r="AQ435" s="756"/>
      <c r="AR435" s="757"/>
      <c r="AS435" s="131"/>
      <c r="AT435" s="111"/>
      <c r="AU435" s="111"/>
      <c r="AV435" s="111"/>
    </row>
    <row r="436" spans="1:48" s="110" customFormat="1" ht="12.75" customHeight="1" x14ac:dyDescent="0.3">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s="131"/>
      <c r="AT436" s="111"/>
      <c r="AU436" s="111"/>
      <c r="AV436" s="111"/>
    </row>
    <row r="437" spans="1:48" s="110" customFormat="1" ht="12.75" customHeight="1" x14ac:dyDescent="0.35">
      <c r="A437" s="286" t="s">
        <v>1825</v>
      </c>
      <c r="B437"/>
      <c r="C437"/>
      <c r="D437" s="120" t="s">
        <v>731</v>
      </c>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s="131"/>
      <c r="AT437" s="111"/>
      <c r="AU437" s="111"/>
      <c r="AV437" s="111"/>
    </row>
    <row r="438" spans="1:48" s="110" customFormat="1" ht="4.5" customHeight="1" x14ac:dyDescent="0.3">
      <c r="A438" s="116"/>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s="131"/>
      <c r="AT438" s="111"/>
      <c r="AU438" s="111"/>
      <c r="AV438" s="111"/>
    </row>
    <row r="439" spans="1:48" s="110" customFormat="1" ht="24.75" customHeight="1" x14ac:dyDescent="0.3">
      <c r="A439" s="116" t="s">
        <v>1826</v>
      </c>
      <c r="B439"/>
      <c r="E439" s="115"/>
      <c r="J439" s="241"/>
      <c r="K439" s="231"/>
      <c r="L439" s="759" t="s">
        <v>1541</v>
      </c>
      <c r="M439" s="759"/>
      <c r="N439" s="759"/>
      <c r="O439" s="759"/>
      <c r="P439" s="759"/>
      <c r="Q439" s="759"/>
      <c r="R439" s="759"/>
      <c r="S439" s="759"/>
      <c r="T439" s="759"/>
      <c r="U439" s="759"/>
      <c r="V439" s="759"/>
      <c r="W439" s="759"/>
      <c r="X439" s="759"/>
      <c r="Y439" s="759"/>
      <c r="Z439" s="759"/>
      <c r="AA439" s="759"/>
      <c r="AB439" s="759"/>
      <c r="AC439" s="759"/>
      <c r="AD439" s="759"/>
      <c r="AE439" s="759"/>
      <c r="AF439" s="759"/>
      <c r="AG439" s="759"/>
      <c r="AH439" s="759"/>
      <c r="AI439" s="759"/>
      <c r="AJ439" s="759"/>
      <c r="AK439" s="759"/>
      <c r="AL439" s="759"/>
      <c r="AM439" s="759"/>
      <c r="AN439" s="759"/>
      <c r="AO439" s="759"/>
      <c r="AP439" s="759"/>
      <c r="AQ439" s="759"/>
      <c r="AR439" s="759"/>
      <c r="AS439" s="131"/>
      <c r="AT439" s="111"/>
      <c r="AU439" s="111"/>
      <c r="AV439" s="111"/>
    </row>
    <row r="440" spans="1:48" s="110" customFormat="1" ht="5.25" customHeight="1" x14ac:dyDescent="0.3">
      <c r="A440" s="116"/>
      <c r="B440"/>
      <c r="C440" s="1"/>
      <c r="D440" s="31"/>
      <c r="E440" s="32"/>
      <c r="F440" s="33"/>
      <c r="G440" s="31"/>
      <c r="H440" s="31"/>
      <c r="I440" s="31"/>
      <c r="J440" s="215"/>
      <c r="K440" s="231"/>
      <c r="L440" s="231"/>
      <c r="M440" s="231"/>
      <c r="N440" s="231"/>
      <c r="O440" s="231"/>
      <c r="P440" s="231"/>
      <c r="Q440" s="231"/>
      <c r="R440" s="231"/>
      <c r="S440" s="231"/>
      <c r="T440" s="231"/>
      <c r="U440" s="231"/>
      <c r="V440" s="231"/>
      <c r="W440" s="231"/>
      <c r="X440" s="231"/>
      <c r="Y440" s="231"/>
      <c r="Z440" s="231"/>
      <c r="AA440" s="231"/>
      <c r="AB440" s="231"/>
      <c r="AC440" s="231"/>
      <c r="AD440" s="231"/>
      <c r="AE440" s="231"/>
      <c r="AF440" s="231"/>
      <c r="AG440" s="231"/>
      <c r="AH440" s="231"/>
      <c r="AI440" s="231"/>
      <c r="AJ440" s="231"/>
      <c r="AK440" s="231"/>
      <c r="AL440" s="231"/>
      <c r="AM440" s="231"/>
      <c r="AN440" s="231"/>
      <c r="AO440" s="231"/>
      <c r="AP440" s="231"/>
      <c r="AQ440" s="231"/>
      <c r="AR440" s="231"/>
      <c r="AS440" s="131"/>
      <c r="AT440" s="111"/>
      <c r="AU440" s="111"/>
      <c r="AV440" s="111"/>
    </row>
    <row r="441" spans="1:48" s="110" customFormat="1" ht="24" customHeight="1" x14ac:dyDescent="0.3">
      <c r="A441" s="116" t="s">
        <v>1827</v>
      </c>
      <c r="B441"/>
      <c r="C441" s="1"/>
      <c r="D441" s="31"/>
      <c r="E441" s="34"/>
      <c r="F441" s="31"/>
      <c r="G441" s="31"/>
      <c r="H441" s="31"/>
      <c r="I441" s="31"/>
      <c r="J441" s="215"/>
      <c r="K441" s="231"/>
      <c r="L441" s="780" t="str">
        <f>IF(calculations!B3=1,"GOLD MEDAL with post-accident and for-cause drug testing of all drivers (including those who drive personal vehicles on JCC business).","GOLD MEDAL with post-accident and for-cause drug testing of all drivers (including those who drive personal vehicles on YMCA business).")</f>
        <v>GOLD MEDAL with post-accident and for-cause drug testing of all drivers (including those who drive personal vehicles on YMCA business).</v>
      </c>
      <c r="M441" s="780"/>
      <c r="N441" s="780"/>
      <c r="O441" s="780"/>
      <c r="P441" s="780"/>
      <c r="Q441" s="780"/>
      <c r="R441" s="780"/>
      <c r="S441" s="780"/>
      <c r="T441" s="780"/>
      <c r="U441" s="780"/>
      <c r="V441" s="780"/>
      <c r="W441" s="780"/>
      <c r="X441" s="780"/>
      <c r="Y441" s="780"/>
      <c r="Z441" s="780"/>
      <c r="AA441" s="780"/>
      <c r="AB441" s="780"/>
      <c r="AC441" s="780"/>
      <c r="AD441" s="780"/>
      <c r="AE441" s="780"/>
      <c r="AF441" s="780"/>
      <c r="AG441" s="780"/>
      <c r="AH441" s="780"/>
      <c r="AI441" s="780"/>
      <c r="AJ441" s="780"/>
      <c r="AK441" s="780"/>
      <c r="AL441" s="780"/>
      <c r="AM441" s="780"/>
      <c r="AN441" s="780"/>
      <c r="AO441" s="780"/>
      <c r="AP441" s="780"/>
      <c r="AQ441" s="780"/>
      <c r="AR441" s="780"/>
      <c r="AS441" s="131"/>
      <c r="AT441" s="111"/>
      <c r="AU441" s="111"/>
      <c r="AV441" s="111"/>
    </row>
    <row r="442" spans="1:48" s="110" customFormat="1" ht="4.5" customHeight="1" x14ac:dyDescent="0.3">
      <c r="A442" s="116"/>
      <c r="B442"/>
      <c r="C442" s="1"/>
      <c r="D442" s="31"/>
      <c r="E442" s="32"/>
      <c r="F442" s="33"/>
      <c r="G442" s="31"/>
      <c r="H442" s="31"/>
      <c r="I442" s="31"/>
      <c r="J442" s="215"/>
      <c r="K442" s="231"/>
      <c r="L442" s="231"/>
      <c r="M442" s="231"/>
      <c r="N442" s="231"/>
      <c r="O442" s="231"/>
      <c r="P442" s="231"/>
      <c r="Q442" s="231"/>
      <c r="R442" s="231"/>
      <c r="S442" s="231"/>
      <c r="T442" s="231"/>
      <c r="U442" s="231"/>
      <c r="V442" s="231"/>
      <c r="W442" s="231"/>
      <c r="X442" s="231"/>
      <c r="Y442" s="231"/>
      <c r="Z442" s="231"/>
      <c r="AA442" s="231"/>
      <c r="AB442" s="231"/>
      <c r="AC442" s="231"/>
      <c r="AD442" s="231"/>
      <c r="AE442" s="231"/>
      <c r="AF442" s="231"/>
      <c r="AG442" s="231"/>
      <c r="AH442" s="231"/>
      <c r="AI442" s="231"/>
      <c r="AJ442" s="231"/>
      <c r="AK442" s="231"/>
      <c r="AL442" s="231"/>
      <c r="AM442" s="231"/>
      <c r="AN442" s="231"/>
      <c r="AO442" s="231"/>
      <c r="AP442" s="231"/>
      <c r="AQ442" s="231"/>
      <c r="AR442" s="231"/>
      <c r="AS442" s="131"/>
      <c r="AT442" s="111"/>
      <c r="AU442" s="111"/>
      <c r="AV442" s="111"/>
    </row>
    <row r="443" spans="1:48" s="110" customFormat="1" ht="25.5" customHeight="1" x14ac:dyDescent="0.3">
      <c r="A443" s="116" t="s">
        <v>1828</v>
      </c>
      <c r="B443"/>
      <c r="C443" s="1"/>
      <c r="D443" s="31"/>
      <c r="E443" s="32"/>
      <c r="F443" s="33"/>
      <c r="G443" s="31"/>
      <c r="H443" s="31"/>
      <c r="I443" s="31"/>
      <c r="J443" s="215"/>
      <c r="K443" s="231"/>
      <c r="L443" s="759" t="s">
        <v>1201</v>
      </c>
      <c r="M443" s="759"/>
      <c r="N443" s="759"/>
      <c r="O443" s="759"/>
      <c r="P443" s="759"/>
      <c r="Q443" s="759"/>
      <c r="R443" s="759"/>
      <c r="S443" s="759"/>
      <c r="T443" s="759"/>
      <c r="U443" s="759"/>
      <c r="V443" s="759"/>
      <c r="W443" s="759"/>
      <c r="X443" s="759"/>
      <c r="Y443" s="759"/>
      <c r="Z443" s="759"/>
      <c r="AA443" s="759"/>
      <c r="AB443" s="759"/>
      <c r="AC443" s="759"/>
      <c r="AD443" s="759"/>
      <c r="AE443" s="759"/>
      <c r="AF443" s="759"/>
      <c r="AG443" s="759"/>
      <c r="AH443" s="759"/>
      <c r="AI443" s="759"/>
      <c r="AJ443" s="759"/>
      <c r="AK443" s="759"/>
      <c r="AL443" s="759"/>
      <c r="AM443" s="759"/>
      <c r="AN443" s="759"/>
      <c r="AO443" s="759"/>
      <c r="AP443" s="759"/>
      <c r="AQ443" s="759"/>
      <c r="AR443" s="759"/>
      <c r="AS443" s="131"/>
      <c r="AT443" s="111"/>
      <c r="AU443" s="111"/>
      <c r="AV443" s="111"/>
    </row>
    <row r="444" spans="1:48" s="110" customFormat="1" ht="4.5" customHeight="1" x14ac:dyDescent="0.3">
      <c r="A444" s="116"/>
      <c r="B444"/>
      <c r="C444" s="1"/>
      <c r="D444" s="31"/>
      <c r="E444" s="34"/>
      <c r="F444" s="31"/>
      <c r="G444" s="31"/>
      <c r="H444" s="31"/>
      <c r="I444" s="31"/>
      <c r="J444" s="215"/>
      <c r="K444" s="231"/>
      <c r="L444" s="231"/>
      <c r="M444" s="231"/>
      <c r="N444" s="231"/>
      <c r="O444" s="231"/>
      <c r="P444" s="231"/>
      <c r="Q444" s="231"/>
      <c r="R444" s="231"/>
      <c r="S444" s="231"/>
      <c r="T444" s="231"/>
      <c r="U444" s="231"/>
      <c r="V444" s="231"/>
      <c r="W444" s="231"/>
      <c r="X444" s="231"/>
      <c r="Y444" s="231"/>
      <c r="Z444" s="231"/>
      <c r="AA444" s="231"/>
      <c r="AB444" s="231"/>
      <c r="AC444" s="231"/>
      <c r="AD444" s="231"/>
      <c r="AE444" s="231"/>
      <c r="AF444" s="231"/>
      <c r="AG444" s="231"/>
      <c r="AH444" s="231"/>
      <c r="AI444" s="231"/>
      <c r="AJ444" s="231"/>
      <c r="AK444" s="231"/>
      <c r="AL444" s="231"/>
      <c r="AM444" s="231"/>
      <c r="AN444" s="231"/>
      <c r="AO444" s="231"/>
      <c r="AP444" s="231"/>
      <c r="AQ444" s="231"/>
      <c r="AR444" s="231"/>
      <c r="AS444" s="131"/>
      <c r="AT444" s="111"/>
      <c r="AU444" s="111"/>
      <c r="AV444" s="111"/>
    </row>
    <row r="445" spans="1:48" s="110" customFormat="1" ht="15" customHeight="1" x14ac:dyDescent="0.3">
      <c r="A445" s="116" t="s">
        <v>1829</v>
      </c>
      <c r="B445"/>
      <c r="C445" s="1"/>
      <c r="D445" s="31"/>
      <c r="E445" s="34"/>
      <c r="F445" s="31"/>
      <c r="G445" s="31"/>
      <c r="H445" s="31"/>
      <c r="I445" s="31"/>
      <c r="J445" s="215"/>
      <c r="K445" s="231"/>
      <c r="L445" s="794" t="s">
        <v>1202</v>
      </c>
      <c r="M445" s="794"/>
      <c r="N445" s="794"/>
      <c r="O445" s="794"/>
      <c r="P445" s="794"/>
      <c r="Q445" s="794"/>
      <c r="R445" s="794"/>
      <c r="S445" s="794"/>
      <c r="T445" s="794"/>
      <c r="U445" s="794"/>
      <c r="V445" s="794"/>
      <c r="W445" s="794"/>
      <c r="X445" s="794"/>
      <c r="Y445" s="794"/>
      <c r="Z445" s="794"/>
      <c r="AA445" s="794"/>
      <c r="AB445" s="794"/>
      <c r="AC445" s="794"/>
      <c r="AD445" s="794"/>
      <c r="AE445" s="794"/>
      <c r="AF445" s="794"/>
      <c r="AG445" s="794"/>
      <c r="AH445" s="794"/>
      <c r="AI445" s="794"/>
      <c r="AJ445" s="794"/>
      <c r="AK445" s="794"/>
      <c r="AL445" s="794"/>
      <c r="AM445" s="794"/>
      <c r="AN445" s="794"/>
      <c r="AO445" s="794"/>
      <c r="AP445" s="794"/>
      <c r="AQ445" s="794"/>
      <c r="AR445" s="794"/>
      <c r="AS445" s="131"/>
      <c r="AT445" s="111"/>
      <c r="AU445" s="111"/>
      <c r="AV445" s="111"/>
    </row>
    <row r="446" spans="1:48" s="110" customFormat="1" ht="4.5" customHeight="1" x14ac:dyDescent="0.3">
      <c r="A446" s="116"/>
      <c r="B446"/>
      <c r="C446" s="1"/>
      <c r="D446" s="31"/>
      <c r="E446" s="32"/>
      <c r="F446" s="33"/>
      <c r="G446" s="31"/>
      <c r="H446" s="31"/>
      <c r="I446" s="31"/>
      <c r="J446" s="215"/>
      <c r="K446" s="231"/>
      <c r="L446" s="231"/>
      <c r="M446" s="231"/>
      <c r="N446" s="231"/>
      <c r="O446" s="231"/>
      <c r="P446" s="231"/>
      <c r="Q446" s="231"/>
      <c r="R446" s="231"/>
      <c r="S446" s="231"/>
      <c r="T446" s="231"/>
      <c r="U446" s="231"/>
      <c r="V446" s="231"/>
      <c r="W446" s="231"/>
      <c r="X446" s="231"/>
      <c r="Y446" s="231"/>
      <c r="Z446" s="231"/>
      <c r="AA446" s="231"/>
      <c r="AB446" s="231"/>
      <c r="AC446" s="231"/>
      <c r="AD446" s="231"/>
      <c r="AE446" s="231"/>
      <c r="AF446" s="231"/>
      <c r="AG446" s="231"/>
      <c r="AH446" s="231"/>
      <c r="AI446" s="231"/>
      <c r="AJ446" s="231"/>
      <c r="AK446" s="231"/>
      <c r="AL446" s="231"/>
      <c r="AM446" s="231"/>
      <c r="AN446" s="231"/>
      <c r="AO446" s="231"/>
      <c r="AP446" s="231"/>
      <c r="AQ446" s="231"/>
      <c r="AR446" s="231"/>
      <c r="AS446" s="131"/>
      <c r="AT446" s="111"/>
      <c r="AU446" s="111"/>
      <c r="AV446" s="111"/>
    </row>
    <row r="447" spans="1:48" s="110" customFormat="1" x14ac:dyDescent="0.3">
      <c r="A447" s="116" t="s">
        <v>1830</v>
      </c>
      <c r="B447"/>
      <c r="C447" s="1"/>
      <c r="D447" s="1"/>
      <c r="E447" s="35"/>
      <c r="F447" s="1"/>
      <c r="G447" s="1"/>
      <c r="H447" s="1"/>
      <c r="I447" s="1"/>
      <c r="J447" s="214"/>
      <c r="K447" s="231"/>
      <c r="L447" s="784" t="str">
        <f>IF(calculations!B3=1,"A drug-free workplace is not addressed in organization protocols.","A drug-free workplace is not addressed in association protocols.")</f>
        <v>A drug-free workplace is not addressed in association protocols.</v>
      </c>
      <c r="M447" s="784"/>
      <c r="N447" s="784"/>
      <c r="O447" s="784"/>
      <c r="P447" s="784"/>
      <c r="Q447" s="784"/>
      <c r="R447" s="784"/>
      <c r="S447" s="784"/>
      <c r="T447" s="784"/>
      <c r="U447" s="784"/>
      <c r="V447" s="784"/>
      <c r="W447" s="784"/>
      <c r="X447" s="784"/>
      <c r="Y447" s="784"/>
      <c r="Z447" s="784"/>
      <c r="AA447" s="784"/>
      <c r="AB447" s="784"/>
      <c r="AC447" s="784"/>
      <c r="AD447" s="784"/>
      <c r="AE447" s="784"/>
      <c r="AF447" s="784"/>
      <c r="AG447" s="784"/>
      <c r="AH447" s="784"/>
      <c r="AI447" s="784"/>
      <c r="AJ447" s="784"/>
      <c r="AK447" s="784"/>
      <c r="AL447" s="784"/>
      <c r="AM447" s="784"/>
      <c r="AN447" s="784"/>
      <c r="AO447" s="784"/>
      <c r="AP447" s="784"/>
      <c r="AQ447" s="784"/>
      <c r="AR447" s="784"/>
      <c r="AS447" s="131"/>
      <c r="AT447" s="111"/>
      <c r="AU447" s="111"/>
      <c r="AV447" s="111"/>
    </row>
    <row r="448" spans="1:48" s="110" customFormat="1" ht="4.5" customHeight="1" x14ac:dyDescent="0.3">
      <c r="A448" s="75"/>
      <c r="B448"/>
      <c r="C448" s="1"/>
      <c r="D448" s="1"/>
      <c r="E448" s="11"/>
      <c r="F448" s="3"/>
      <c r="G448" s="1"/>
      <c r="H448" s="1"/>
      <c r="I448" s="1"/>
      <c r="J448" s="214"/>
      <c r="K448" s="231"/>
      <c r="L448" s="231"/>
      <c r="M448" s="231"/>
      <c r="N448" s="231"/>
      <c r="O448" s="231"/>
      <c r="P448" s="231"/>
      <c r="Q448" s="231"/>
      <c r="R448" s="231"/>
      <c r="S448" s="231"/>
      <c r="T448" s="231"/>
      <c r="U448" s="231"/>
      <c r="V448" s="231"/>
      <c r="W448" s="231"/>
      <c r="X448" s="231"/>
      <c r="Y448" s="231"/>
      <c r="Z448" s="231"/>
      <c r="AA448" s="231"/>
      <c r="AB448" s="231"/>
      <c r="AC448" s="231"/>
      <c r="AD448" s="231"/>
      <c r="AE448" s="231"/>
      <c r="AF448" s="231"/>
      <c r="AG448" s="231"/>
      <c r="AH448" s="231"/>
      <c r="AI448" s="231"/>
      <c r="AJ448" s="231"/>
      <c r="AK448" s="231"/>
      <c r="AL448" s="231"/>
      <c r="AM448" s="231"/>
      <c r="AN448" s="231"/>
      <c r="AO448" s="231"/>
      <c r="AP448" s="231"/>
      <c r="AQ448" s="231"/>
      <c r="AR448" s="231"/>
      <c r="AS448" s="131"/>
      <c r="AT448" s="111"/>
      <c r="AU448" s="111"/>
      <c r="AV448" s="111"/>
    </row>
    <row r="449" spans="1:48" s="110" customFormat="1" ht="12.75" customHeight="1" x14ac:dyDescent="0.3">
      <c r="A449"/>
      <c r="B449"/>
      <c r="C449"/>
      <c r="D449"/>
      <c r="E449"/>
      <c r="F449" s="116" t="s">
        <v>700</v>
      </c>
      <c r="G449" s="116"/>
      <c r="H449"/>
      <c r="I449"/>
      <c r="J449" s="755" t="str">
        <f>IF(calculations!M170,"describe corrective action proposed to correct any Red Flag or Yellow Flag ranking",IF(calculations!N170,"describe corrective action proposed to correct any Red Flag or Yellow Flag ranking",""))</f>
        <v/>
      </c>
      <c r="K449" s="756"/>
      <c r="L449" s="756"/>
      <c r="M449" s="756"/>
      <c r="N449" s="756"/>
      <c r="O449" s="756"/>
      <c r="P449" s="756"/>
      <c r="Q449" s="756"/>
      <c r="R449" s="756"/>
      <c r="S449" s="756"/>
      <c r="T449" s="756"/>
      <c r="U449" s="756"/>
      <c r="V449" s="756"/>
      <c r="W449" s="756"/>
      <c r="X449" s="756"/>
      <c r="Y449" s="756"/>
      <c r="Z449" s="756"/>
      <c r="AA449" s="756"/>
      <c r="AB449" s="756"/>
      <c r="AC449" s="756"/>
      <c r="AD449" s="756"/>
      <c r="AE449" s="756"/>
      <c r="AF449" s="756"/>
      <c r="AG449" s="756"/>
      <c r="AH449" s="756"/>
      <c r="AI449" s="756"/>
      <c r="AJ449" s="756"/>
      <c r="AK449" s="756"/>
      <c r="AL449" s="756"/>
      <c r="AM449" s="756"/>
      <c r="AN449" s="756"/>
      <c r="AO449" s="756"/>
      <c r="AP449" s="756"/>
      <c r="AQ449" s="756"/>
      <c r="AR449" s="757"/>
      <c r="AS449" s="131"/>
      <c r="AT449" s="111"/>
      <c r="AU449" s="111"/>
      <c r="AV449" s="111"/>
    </row>
    <row r="450" spans="1:48" s="110" customFormat="1" ht="4.5" customHeight="1" x14ac:dyDescent="0.3">
      <c r="A450"/>
      <c r="B450"/>
      <c r="C450"/>
      <c r="D450"/>
      <c r="E450"/>
      <c r="F450"/>
      <c r="G450"/>
      <c r="H450"/>
      <c r="I450"/>
      <c r="J450" s="231"/>
      <c r="K450" s="231"/>
      <c r="L450" s="231"/>
      <c r="M450" s="231"/>
      <c r="N450" s="231"/>
      <c r="O450" s="231"/>
      <c r="P450" s="231"/>
      <c r="Q450" s="231"/>
      <c r="R450" s="231"/>
      <c r="S450" s="231"/>
      <c r="T450" s="231"/>
      <c r="U450" s="231"/>
      <c r="V450" s="231"/>
      <c r="W450" s="231"/>
      <c r="X450" s="231"/>
      <c r="Y450" s="231"/>
      <c r="Z450" s="231"/>
      <c r="AA450" s="231"/>
      <c r="AB450" s="231"/>
      <c r="AC450" s="231"/>
      <c r="AD450" s="231"/>
      <c r="AE450" s="231"/>
      <c r="AF450" s="231"/>
      <c r="AG450" s="231"/>
      <c r="AH450" s="231"/>
      <c r="AI450" s="231"/>
      <c r="AJ450" s="231"/>
      <c r="AK450" s="231"/>
      <c r="AL450" s="231"/>
      <c r="AM450" s="231"/>
      <c r="AN450" s="231"/>
      <c r="AO450" s="231"/>
      <c r="AP450" s="231"/>
      <c r="AQ450" s="231"/>
      <c r="AR450" s="231"/>
      <c r="AS450" s="131"/>
      <c r="AT450" s="111"/>
      <c r="AU450" s="111"/>
      <c r="AV450" s="111"/>
    </row>
    <row r="451" spans="1:48" s="110" customFormat="1" ht="25.5" customHeight="1" x14ac:dyDescent="0.3">
      <c r="A451"/>
      <c r="B451"/>
      <c r="C451"/>
      <c r="D451"/>
      <c r="E451"/>
      <c r="F451" s="114" t="str">
        <f>IF(J451&gt;"","OFE","")</f>
        <v/>
      </c>
      <c r="G451"/>
      <c r="H451"/>
      <c r="I451"/>
      <c r="J451" s="755" t="str">
        <f>IF(calculations!M170,CONCATENATE("OFE:  ",Rec!D199),IF(calculations!N170,CONCATENATE("OFE:  ",Rec!D200),""))</f>
        <v/>
      </c>
      <c r="K451" s="756"/>
      <c r="L451" s="756"/>
      <c r="M451" s="756"/>
      <c r="N451" s="756"/>
      <c r="O451" s="756"/>
      <c r="P451" s="756"/>
      <c r="Q451" s="756"/>
      <c r="R451" s="756"/>
      <c r="S451" s="756"/>
      <c r="T451" s="756"/>
      <c r="U451" s="756"/>
      <c r="V451" s="756"/>
      <c r="W451" s="756"/>
      <c r="X451" s="756"/>
      <c r="Y451" s="756"/>
      <c r="Z451" s="756"/>
      <c r="AA451" s="756"/>
      <c r="AB451" s="756"/>
      <c r="AC451" s="756"/>
      <c r="AD451" s="756"/>
      <c r="AE451" s="756"/>
      <c r="AF451" s="756"/>
      <c r="AG451" s="756"/>
      <c r="AH451" s="756"/>
      <c r="AI451" s="756"/>
      <c r="AJ451" s="756"/>
      <c r="AK451" s="756"/>
      <c r="AL451" s="756"/>
      <c r="AM451" s="756"/>
      <c r="AN451" s="756"/>
      <c r="AO451" s="756"/>
      <c r="AP451" s="756"/>
      <c r="AQ451" s="756"/>
      <c r="AR451" s="757"/>
      <c r="AS451" s="131"/>
      <c r="AT451" s="111"/>
      <c r="AU451" s="111"/>
      <c r="AV451" s="111"/>
    </row>
    <row r="452" spans="1:48" s="110" customFormat="1" ht="12.75" customHeight="1"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s="131"/>
      <c r="AT452" s="111"/>
      <c r="AU452" s="111"/>
      <c r="AV452" s="111"/>
    </row>
    <row r="453" spans="1:48" ht="25.3" x14ac:dyDescent="0.3">
      <c r="A453" s="785" t="s">
        <v>1365</v>
      </c>
      <c r="B453" s="785"/>
      <c r="C453" s="785"/>
      <c r="D453" s="785"/>
      <c r="E453" s="785"/>
      <c r="F453" s="785"/>
      <c r="G453" s="785"/>
      <c r="H453" s="785"/>
      <c r="I453" s="785"/>
      <c r="J453" s="785"/>
      <c r="K453" s="785"/>
      <c r="L453" s="785"/>
      <c r="M453" s="785"/>
      <c r="N453" s="785"/>
      <c r="O453" s="785"/>
      <c r="P453" s="785"/>
      <c r="Q453" s="785"/>
      <c r="R453" s="785"/>
      <c r="S453" s="785"/>
      <c r="T453" s="785"/>
      <c r="U453" s="785"/>
      <c r="V453" s="785"/>
      <c r="W453" s="785"/>
      <c r="X453" s="785"/>
      <c r="Y453" s="785"/>
      <c r="Z453" s="785"/>
      <c r="AA453" s="785"/>
      <c r="AB453" s="785"/>
      <c r="AC453" s="785"/>
      <c r="AD453" s="785"/>
      <c r="AE453" s="785"/>
      <c r="AF453" s="785"/>
      <c r="AG453" s="785"/>
      <c r="AH453" s="785"/>
      <c r="AI453" s="785"/>
      <c r="AJ453" s="785"/>
      <c r="AK453" s="785"/>
      <c r="AL453" s="785"/>
      <c r="AM453" s="785"/>
      <c r="AN453" s="785"/>
      <c r="AO453" s="785"/>
      <c r="AP453" s="785"/>
      <c r="AQ453" s="785"/>
      <c r="AR453" s="785"/>
      <c r="AS453" s="131"/>
    </row>
    <row r="454" spans="1:48" x14ac:dyDescent="0.3">
      <c r="A454" s="113"/>
      <c r="B454" s="110"/>
      <c r="C454" s="110"/>
      <c r="D454" s="110"/>
      <c r="E454" s="115"/>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691" t="s">
        <v>693</v>
      </c>
      <c r="AD454" s="692"/>
      <c r="AE454" s="692"/>
      <c r="AF454" s="692"/>
      <c r="AG454" s="692"/>
      <c r="AH454" s="693"/>
      <c r="AI454" s="110"/>
      <c r="AJ454" s="691" t="s">
        <v>694</v>
      </c>
      <c r="AK454" s="692"/>
      <c r="AL454" s="692"/>
      <c r="AM454" s="692"/>
      <c r="AN454" s="692"/>
      <c r="AO454" s="692"/>
      <c r="AP454" s="692"/>
      <c r="AQ454" s="692"/>
      <c r="AR454" s="693"/>
      <c r="AS454" s="131"/>
    </row>
    <row r="455" spans="1:48" x14ac:dyDescent="0.3">
      <c r="A455" s="113"/>
      <c r="B455" s="110"/>
      <c r="C455" s="110"/>
      <c r="E455" s="115"/>
      <c r="F455" s="110"/>
      <c r="G455" s="110"/>
      <c r="H455" s="110"/>
      <c r="I455" s="110"/>
      <c r="J455" s="110"/>
      <c r="K455" s="110"/>
      <c r="L455" s="110"/>
      <c r="M455" s="110"/>
      <c r="N455" s="124">
        <f>calculations!A11</f>
        <v>0</v>
      </c>
      <c r="O455" s="110"/>
      <c r="P455" s="110"/>
      <c r="Q455" s="110"/>
      <c r="R455" s="110"/>
      <c r="S455" s="110"/>
      <c r="T455" s="110"/>
      <c r="U455" s="123"/>
      <c r="V455" s="110"/>
      <c r="W455" s="110"/>
      <c r="X455" s="110"/>
      <c r="Y455" s="110"/>
      <c r="Z455" s="110"/>
      <c r="AA455" s="110"/>
      <c r="AB455" s="110"/>
      <c r="AC455" s="110"/>
      <c r="AD455" s="110"/>
      <c r="AE455" s="110"/>
      <c r="AF455" s="110"/>
      <c r="AG455" s="110"/>
      <c r="AH455" s="110"/>
      <c r="AI455" s="110"/>
      <c r="AJ455" s="745" t="s">
        <v>695</v>
      </c>
      <c r="AK455" s="746"/>
      <c r="AL455" s="746"/>
      <c r="AM455" s="746"/>
      <c r="AN455" s="746"/>
      <c r="AO455" s="746"/>
      <c r="AP455" s="746"/>
      <c r="AQ455" s="746"/>
      <c r="AR455" s="747"/>
      <c r="AS455" s="131"/>
    </row>
    <row r="456" spans="1:48" ht="12.75" customHeight="1" x14ac:dyDescent="0.3">
      <c r="A456" s="113"/>
      <c r="B456" s="110"/>
      <c r="C456" s="110"/>
      <c r="D456" s="137"/>
      <c r="E456" s="115"/>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31"/>
    </row>
    <row r="457" spans="1:48" ht="14.15" x14ac:dyDescent="0.3">
      <c r="A457" s="279" t="s">
        <v>874</v>
      </c>
      <c r="B457" s="111"/>
      <c r="C457" s="111"/>
      <c r="D457" s="137" t="s">
        <v>886</v>
      </c>
      <c r="E457" s="121"/>
      <c r="F457" s="110"/>
      <c r="G457" s="110"/>
      <c r="H457" s="110"/>
      <c r="I457" s="110"/>
      <c r="J457" s="110"/>
      <c r="K457" s="110"/>
      <c r="L457" s="110"/>
      <c r="M457" s="110"/>
      <c r="N457" s="110"/>
      <c r="O457" s="110"/>
      <c r="P457" s="344" t="str">
        <f>IF(SUM(calculations!AC256:AC259)=0,"",IF(calculations!AH256=0,"","COMPLETE DETAILS FOR GRADE"))</f>
        <v/>
      </c>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298" t="str">
        <f>calculations!U202</f>
        <v/>
      </c>
      <c r="AM457" s="110"/>
      <c r="AN457" s="110"/>
      <c r="AO457" s="110"/>
      <c r="AP457" s="110"/>
      <c r="AQ457" s="110"/>
      <c r="AR457" s="110"/>
      <c r="AS457" s="131"/>
    </row>
    <row r="458" spans="1:48" ht="4.5" customHeight="1" x14ac:dyDescent="0.3">
      <c r="A458" s="136"/>
      <c r="B458" s="111"/>
      <c r="C458" s="111"/>
      <c r="D458" s="137"/>
      <c r="E458" s="121"/>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31"/>
    </row>
    <row r="459" spans="1:48" ht="12.75" customHeight="1" x14ac:dyDescent="0.3">
      <c r="A459" s="279" t="s">
        <v>362</v>
      </c>
      <c r="B459" s="111"/>
      <c r="C459" s="111"/>
      <c r="D459" s="137"/>
      <c r="E459" s="267" t="s">
        <v>885</v>
      </c>
      <c r="F459" s="110"/>
      <c r="G459" s="110"/>
      <c r="H459" s="110"/>
      <c r="I459" s="110"/>
      <c r="J459" s="110"/>
      <c r="K459" s="110"/>
      <c r="L459" s="334"/>
      <c r="M459" s="755" t="s">
        <v>1999</v>
      </c>
      <c r="N459" s="756"/>
      <c r="O459" s="756"/>
      <c r="P459" s="756"/>
      <c r="Q459" s="756"/>
      <c r="R459" s="756"/>
      <c r="S459" s="756"/>
      <c r="T459" s="756"/>
      <c r="U459" s="756"/>
      <c r="V459" s="756"/>
      <c r="W459" s="756"/>
      <c r="X459" s="756"/>
      <c r="Y459" s="756"/>
      <c r="Z459" s="756"/>
      <c r="AA459" s="756"/>
      <c r="AB459" s="756"/>
      <c r="AC459" s="756"/>
      <c r="AD459" s="756"/>
      <c r="AE459" s="756"/>
      <c r="AF459" s="756"/>
      <c r="AG459" s="756"/>
      <c r="AH459" s="756"/>
      <c r="AI459" s="756"/>
      <c r="AJ459" s="756"/>
      <c r="AK459" s="756"/>
      <c r="AL459" s="756"/>
      <c r="AM459" s="756"/>
      <c r="AN459" s="756"/>
      <c r="AO459" s="756"/>
      <c r="AP459" s="756"/>
      <c r="AQ459" s="756"/>
      <c r="AR459" s="757"/>
      <c r="AS459" s="131"/>
    </row>
    <row r="460" spans="1:48" ht="4.5" customHeight="1" x14ac:dyDescent="0.3">
      <c r="A460" s="279"/>
      <c r="B460" s="111"/>
      <c r="C460" s="111"/>
      <c r="D460" s="137"/>
      <c r="E460" s="148"/>
      <c r="F460" s="110"/>
      <c r="G460" s="110"/>
      <c r="H460" s="110"/>
      <c r="I460" s="110"/>
      <c r="J460" s="110"/>
      <c r="K460" s="110"/>
      <c r="L460" s="110"/>
      <c r="M460" s="241"/>
      <c r="N460" s="241"/>
      <c r="O460" s="241"/>
      <c r="P460" s="241"/>
      <c r="Q460" s="241"/>
      <c r="R460" s="241"/>
      <c r="S460" s="241"/>
      <c r="T460" s="241"/>
      <c r="U460" s="241"/>
      <c r="V460" s="241"/>
      <c r="W460" s="241"/>
      <c r="X460" s="241"/>
      <c r="Y460" s="241"/>
      <c r="Z460" s="241"/>
      <c r="AA460" s="241"/>
      <c r="AB460" s="241"/>
      <c r="AC460" s="241"/>
      <c r="AD460" s="241"/>
      <c r="AE460" s="241"/>
      <c r="AF460" s="241"/>
      <c r="AG460" s="241"/>
      <c r="AH460" s="241"/>
      <c r="AI460" s="241"/>
      <c r="AJ460" s="241"/>
      <c r="AK460" s="241"/>
      <c r="AL460" s="241"/>
      <c r="AM460" s="241"/>
      <c r="AN460" s="241"/>
      <c r="AO460" s="241"/>
      <c r="AP460" s="241"/>
      <c r="AQ460" s="241"/>
      <c r="AR460" s="241"/>
      <c r="AS460" s="131"/>
    </row>
    <row r="461" spans="1:48" ht="25.5" customHeight="1" x14ac:dyDescent="0.3">
      <c r="A461" s="279" t="s">
        <v>363</v>
      </c>
      <c r="B461" s="111"/>
      <c r="C461" s="111"/>
      <c r="D461" s="137"/>
      <c r="E461" s="267" t="str">
        <f>IF(calculations!AB253,"","COOKING EQUIPMENT")</f>
        <v>COOKING EQUIPMENT</v>
      </c>
      <c r="F461" s="110"/>
      <c r="G461" s="110"/>
      <c r="H461" s="110"/>
      <c r="I461" s="110"/>
      <c r="J461" s="110"/>
      <c r="K461" s="110"/>
      <c r="L461" s="110"/>
      <c r="M461" s="755" t="str">
        <f>IF(calculations!AB253,"","Briefly describe cooking elements (e.g., range, grill, steamer, deep fat fryer, etc.) and extent of cooking (meals per week, weeks per year, etc..).")</f>
        <v>Briefly describe cooking elements (e.g., range, grill, steamer, deep fat fryer, etc.) and extent of cooking (meals per week, weeks per year, etc..).</v>
      </c>
      <c r="N461" s="756"/>
      <c r="O461" s="756"/>
      <c r="P461" s="756"/>
      <c r="Q461" s="756"/>
      <c r="R461" s="756"/>
      <c r="S461" s="756"/>
      <c r="T461" s="756"/>
      <c r="U461" s="756"/>
      <c r="V461" s="756"/>
      <c r="W461" s="756"/>
      <c r="X461" s="756"/>
      <c r="Y461" s="756"/>
      <c r="Z461" s="756"/>
      <c r="AA461" s="756"/>
      <c r="AB461" s="756"/>
      <c r="AC461" s="756"/>
      <c r="AD461" s="756"/>
      <c r="AE461" s="756"/>
      <c r="AF461" s="756"/>
      <c r="AG461" s="756"/>
      <c r="AH461" s="756"/>
      <c r="AI461" s="756"/>
      <c r="AJ461" s="756"/>
      <c r="AK461" s="756"/>
      <c r="AL461" s="756"/>
      <c r="AM461" s="756"/>
      <c r="AN461" s="756"/>
      <c r="AO461" s="756"/>
      <c r="AP461" s="756"/>
      <c r="AQ461" s="756"/>
      <c r="AR461" s="757"/>
      <c r="AS461" s="131"/>
    </row>
    <row r="462" spans="1:48" ht="4.5" customHeight="1" x14ac:dyDescent="0.3">
      <c r="A462" s="279"/>
      <c r="B462" s="111"/>
      <c r="C462" s="111"/>
      <c r="D462" s="137"/>
      <c r="E462" s="148"/>
      <c r="F462" s="110"/>
      <c r="G462" s="110"/>
      <c r="H462" s="110"/>
      <c r="I462" s="110"/>
      <c r="J462" s="110"/>
      <c r="K462" s="110"/>
      <c r="L462" s="110"/>
      <c r="M462" s="241"/>
      <c r="N462" s="241"/>
      <c r="O462" s="241"/>
      <c r="P462" s="241"/>
      <c r="Q462" s="241"/>
      <c r="R462" s="241"/>
      <c r="S462" s="241"/>
      <c r="T462" s="241"/>
      <c r="U462" s="241"/>
      <c r="V462" s="241"/>
      <c r="W462" s="241"/>
      <c r="X462" s="241"/>
      <c r="Y462" s="241"/>
      <c r="Z462" s="241"/>
      <c r="AA462" s="241"/>
      <c r="AB462" s="241"/>
      <c r="AC462" s="241"/>
      <c r="AD462" s="241"/>
      <c r="AE462" s="241"/>
      <c r="AF462" s="241"/>
      <c r="AG462" s="241"/>
      <c r="AH462" s="241"/>
      <c r="AI462" s="241"/>
      <c r="AJ462" s="241"/>
      <c r="AK462" s="241"/>
      <c r="AL462" s="241"/>
      <c r="AM462" s="241"/>
      <c r="AN462" s="241"/>
      <c r="AO462" s="241"/>
      <c r="AP462" s="241"/>
      <c r="AQ462" s="241"/>
      <c r="AR462" s="241"/>
      <c r="AS462" s="131"/>
    </row>
    <row r="463" spans="1:48" ht="15" customHeight="1" x14ac:dyDescent="0.3">
      <c r="A463" s="279" t="s">
        <v>364</v>
      </c>
      <c r="B463" s="111"/>
      <c r="C463" s="111"/>
      <c r="D463" s="137"/>
      <c r="E463" s="267" t="str">
        <f>IF(calculations!AB253,"","FOOD STORAGE")</f>
        <v>FOOD STORAGE</v>
      </c>
      <c r="F463" s="110"/>
      <c r="G463" s="110"/>
      <c r="H463" s="110"/>
      <c r="I463" s="110"/>
      <c r="J463" s="110"/>
      <c r="K463" s="110"/>
      <c r="L463" s="110"/>
      <c r="M463" s="755" t="str">
        <f>IF(calculations!AB253,"","Briefly describe dry and refrigerated food storage.")</f>
        <v>Briefly describe dry and refrigerated food storage.</v>
      </c>
      <c r="N463" s="756"/>
      <c r="O463" s="756"/>
      <c r="P463" s="756"/>
      <c r="Q463" s="756"/>
      <c r="R463" s="756"/>
      <c r="S463" s="756"/>
      <c r="T463" s="756"/>
      <c r="U463" s="756"/>
      <c r="V463" s="756"/>
      <c r="W463" s="756"/>
      <c r="X463" s="756"/>
      <c r="Y463" s="756"/>
      <c r="Z463" s="756"/>
      <c r="AA463" s="756"/>
      <c r="AB463" s="756"/>
      <c r="AC463" s="756"/>
      <c r="AD463" s="756"/>
      <c r="AE463" s="756"/>
      <c r="AF463" s="756"/>
      <c r="AG463" s="756"/>
      <c r="AH463" s="756"/>
      <c r="AI463" s="756"/>
      <c r="AJ463" s="756"/>
      <c r="AK463" s="756"/>
      <c r="AL463" s="756"/>
      <c r="AM463" s="756"/>
      <c r="AN463" s="756"/>
      <c r="AO463" s="756"/>
      <c r="AP463" s="756"/>
      <c r="AQ463" s="756"/>
      <c r="AR463" s="757"/>
      <c r="AS463" s="131"/>
    </row>
    <row r="464" spans="1:48" ht="11.25" customHeight="1" x14ac:dyDescent="0.3">
      <c r="A464" s="279"/>
      <c r="B464" s="111"/>
      <c r="C464" s="111"/>
      <c r="D464" s="137"/>
      <c r="E464" s="134"/>
      <c r="F464" s="1"/>
      <c r="G464" s="1"/>
      <c r="H464" s="1"/>
      <c r="I464" s="1"/>
      <c r="J464" s="1"/>
      <c r="K464" s="200" t="s">
        <v>1341</v>
      </c>
      <c r="L464" s="126"/>
      <c r="M464" s="241"/>
      <c r="N464" s="241"/>
      <c r="O464" s="241"/>
      <c r="P464" s="241"/>
      <c r="Q464" s="241"/>
      <c r="R464" s="241"/>
      <c r="S464" s="241"/>
      <c r="T464" s="241"/>
      <c r="U464" s="241"/>
      <c r="V464" s="241"/>
      <c r="W464" s="241"/>
      <c r="X464" s="241"/>
      <c r="Y464" s="241"/>
      <c r="Z464" s="241"/>
      <c r="AA464" s="241"/>
      <c r="AB464" s="241"/>
      <c r="AC464" s="241"/>
      <c r="AD464" s="241"/>
      <c r="AE464" s="241"/>
      <c r="AF464" s="241"/>
      <c r="AG464" s="241"/>
      <c r="AH464" s="241"/>
      <c r="AI464" s="241"/>
      <c r="AJ464" s="241"/>
      <c r="AK464" s="241"/>
      <c r="AL464" s="241"/>
      <c r="AM464" s="241"/>
      <c r="AN464" s="241"/>
      <c r="AO464" s="241"/>
      <c r="AP464" s="241"/>
      <c r="AQ464" s="241"/>
      <c r="AR464" s="241"/>
      <c r="AS464" s="131"/>
    </row>
    <row r="465" spans="1:47" ht="37.5" customHeight="1" x14ac:dyDescent="0.35">
      <c r="A465" s="279" t="s">
        <v>365</v>
      </c>
      <c r="B465" s="111"/>
      <c r="C465" s="111"/>
      <c r="D465" s="111"/>
      <c r="E465" s="139" t="str">
        <f>IF(calculations!AC250&gt;1,"check only one box","")</f>
        <v/>
      </c>
      <c r="F465" s="1"/>
      <c r="G465" s="1"/>
      <c r="H465" s="1"/>
      <c r="I465" s="1"/>
      <c r="J465" s="1"/>
      <c r="K465" s="1"/>
      <c r="L465" s="110"/>
      <c r="M465" s="755" t="str">
        <f>IF(calculations!AB253,"","1) Refrigerators and freezers have thermometers and either high temperature alarms or logs that document regular checks and appropriate temperatures for the box involved. 
2) Goods in the refrigerator or freezer are always sealed or covered.")</f>
        <v>1) Refrigerators and freezers have thermometers and either high temperature alarms or logs that document regular checks and appropriate temperatures for the box involved. 
2) Goods in the refrigerator or freezer are always sealed or covered.</v>
      </c>
      <c r="N465" s="756"/>
      <c r="O465" s="756"/>
      <c r="P465" s="756"/>
      <c r="Q465" s="756"/>
      <c r="R465" s="756"/>
      <c r="S465" s="756"/>
      <c r="T465" s="756"/>
      <c r="U465" s="756"/>
      <c r="V465" s="756"/>
      <c r="W465" s="756"/>
      <c r="X465" s="756"/>
      <c r="Y465" s="756"/>
      <c r="Z465" s="756"/>
      <c r="AA465" s="756"/>
      <c r="AB465" s="756"/>
      <c r="AC465" s="756"/>
      <c r="AD465" s="756"/>
      <c r="AE465" s="756"/>
      <c r="AF465" s="756"/>
      <c r="AG465" s="756"/>
      <c r="AH465" s="756"/>
      <c r="AI465" s="756"/>
      <c r="AJ465" s="756"/>
      <c r="AK465" s="756"/>
      <c r="AL465" s="756"/>
      <c r="AM465" s="756"/>
      <c r="AN465" s="756"/>
      <c r="AO465" s="756"/>
      <c r="AP465" s="756"/>
      <c r="AQ465" s="756"/>
      <c r="AR465" s="757"/>
      <c r="AS465" s="131"/>
    </row>
    <row r="466" spans="1:47" ht="9" customHeight="1" x14ac:dyDescent="0.3">
      <c r="A466" s="279"/>
      <c r="B466" s="111"/>
      <c r="C466" s="111"/>
      <c r="D466" s="137"/>
      <c r="K466" s="200"/>
      <c r="M466" s="241"/>
      <c r="N466" s="241"/>
      <c r="O466" s="241"/>
      <c r="P466" s="241"/>
      <c r="Q466" s="241"/>
      <c r="R466" s="241"/>
      <c r="S466" s="241"/>
      <c r="T466" s="241"/>
      <c r="U466" s="241"/>
      <c r="V466" s="241"/>
      <c r="W466" s="241"/>
      <c r="X466" s="241"/>
      <c r="Y466" s="241"/>
      <c r="Z466" s="241"/>
      <c r="AA466" s="241"/>
      <c r="AB466" s="241"/>
      <c r="AC466" s="241"/>
      <c r="AD466" s="241"/>
      <c r="AE466" s="241"/>
      <c r="AF466" s="241"/>
      <c r="AG466" s="241"/>
      <c r="AH466" s="241"/>
      <c r="AI466" s="241"/>
      <c r="AJ466" s="241"/>
      <c r="AK466" s="241"/>
      <c r="AL466" s="241"/>
      <c r="AM466" s="241"/>
      <c r="AN466" s="241"/>
      <c r="AO466" s="241"/>
      <c r="AP466" s="241"/>
      <c r="AQ466" s="241"/>
      <c r="AR466" s="241"/>
      <c r="AS466" s="131"/>
    </row>
    <row r="467" spans="1:47" ht="49.5" customHeight="1" x14ac:dyDescent="0.35">
      <c r="A467" s="279" t="s">
        <v>366</v>
      </c>
      <c r="B467" s="111"/>
      <c r="C467" s="111"/>
      <c r="D467" s="111"/>
      <c r="E467" s="139" t="str">
        <f>IF(calculations!AC254&gt;1,"check only one box","")</f>
        <v/>
      </c>
      <c r="F467" s="1"/>
      <c r="G467" s="1"/>
      <c r="H467" s="1"/>
      <c r="I467" s="1"/>
      <c r="J467" s="1"/>
      <c r="K467" s="1"/>
      <c r="L467" s="110"/>
      <c r="M467" s="755" t="str">
        <f>IF(calculations!AB253,"",forms!A208)</f>
        <v>1) Non-refrigerated foodstuffs are stored in original packaging or in sealed containers separated from cleaning supplies and non-food items. 
2) Any foodstuffs not in an impervious container are stored off the floor (local jurisdiction may require all storage off the floor).</v>
      </c>
      <c r="N467" s="756"/>
      <c r="O467" s="756"/>
      <c r="P467" s="756"/>
      <c r="Q467" s="756"/>
      <c r="R467" s="756"/>
      <c r="S467" s="756"/>
      <c r="T467" s="756"/>
      <c r="U467" s="756"/>
      <c r="V467" s="756"/>
      <c r="W467" s="756"/>
      <c r="X467" s="756"/>
      <c r="Y467" s="756"/>
      <c r="Z467" s="756"/>
      <c r="AA467" s="756"/>
      <c r="AB467" s="756"/>
      <c r="AC467" s="756"/>
      <c r="AD467" s="756"/>
      <c r="AE467" s="756"/>
      <c r="AF467" s="756"/>
      <c r="AG467" s="756"/>
      <c r="AH467" s="756"/>
      <c r="AI467" s="756"/>
      <c r="AJ467" s="756"/>
      <c r="AK467" s="756"/>
      <c r="AL467" s="756"/>
      <c r="AM467" s="756"/>
      <c r="AN467" s="756"/>
      <c r="AO467" s="756"/>
      <c r="AP467" s="756"/>
      <c r="AQ467" s="756"/>
      <c r="AR467" s="757"/>
      <c r="AS467" s="131"/>
    </row>
    <row r="468" spans="1:47" ht="12" customHeight="1" x14ac:dyDescent="0.3">
      <c r="A468" s="279"/>
      <c r="B468" s="111"/>
      <c r="C468" s="111"/>
      <c r="D468" s="111"/>
      <c r="E468" s="267" t="s">
        <v>1344</v>
      </c>
      <c r="F468" s="1"/>
      <c r="G468" s="1"/>
      <c r="H468" s="1"/>
      <c r="I468" s="1"/>
      <c r="J468" s="1"/>
      <c r="K468" s="1"/>
      <c r="L468" s="110"/>
      <c r="M468" s="315"/>
      <c r="N468" s="315"/>
      <c r="O468" s="315"/>
      <c r="P468" s="315"/>
      <c r="Q468" s="315"/>
      <c r="R468" s="315"/>
      <c r="S468" s="315"/>
      <c r="T468" s="315"/>
      <c r="U468" s="315"/>
      <c r="V468" s="315"/>
      <c r="W468" s="315"/>
      <c r="X468" s="315"/>
      <c r="Y468" s="315"/>
      <c r="Z468" s="315"/>
      <c r="AA468" s="315"/>
      <c r="AB468" s="315"/>
      <c r="AC468" s="315"/>
      <c r="AD468" s="315"/>
      <c r="AE468" s="315"/>
      <c r="AF468" s="315"/>
      <c r="AG468" s="315"/>
      <c r="AH468" s="315"/>
      <c r="AI468" s="315"/>
      <c r="AJ468" s="315"/>
      <c r="AK468" s="315"/>
      <c r="AL468" s="315"/>
      <c r="AM468" s="315"/>
      <c r="AN468" s="315"/>
      <c r="AO468" s="315"/>
      <c r="AP468" s="315"/>
      <c r="AQ468" s="315"/>
      <c r="AR468" s="315"/>
      <c r="AS468" s="131"/>
    </row>
    <row r="469" spans="1:47" ht="50.25" customHeight="1" x14ac:dyDescent="0.35">
      <c r="A469" s="279" t="s">
        <v>1366</v>
      </c>
      <c r="B469" s="111"/>
      <c r="C469" s="111"/>
      <c r="D469" s="111"/>
      <c r="E469" s="139" t="str">
        <f>IF(calculations!AC252&gt;1,"check only one box","")</f>
        <v/>
      </c>
      <c r="F469" s="1"/>
      <c r="G469" s="1"/>
      <c r="H469" s="1"/>
      <c r="I469" s="1"/>
      <c r="J469" s="1"/>
      <c r="K469" s="1"/>
      <c r="L469" s="110"/>
      <c r="M469" s="755" t="str">
        <f>IF(calculations!D72,"",forms!A209)</f>
        <v>1) All assembly areas are provided with at least two means of egress, significantly separated from one another, that are sufficient to handle the potential capacity of the space. 
2) No egress pathway goes through the kitchen, boiler room, or similar space. 
3) Doors serving areas with capacities of 100 or more are provided with panic hardware.</v>
      </c>
      <c r="N469" s="756"/>
      <c r="O469" s="756"/>
      <c r="P469" s="756"/>
      <c r="Q469" s="756"/>
      <c r="R469" s="756"/>
      <c r="S469" s="756"/>
      <c r="T469" s="756"/>
      <c r="U469" s="756"/>
      <c r="V469" s="756"/>
      <c r="W469" s="756"/>
      <c r="X469" s="756"/>
      <c r="Y469" s="756"/>
      <c r="Z469" s="756"/>
      <c r="AA469" s="756"/>
      <c r="AB469" s="756"/>
      <c r="AC469" s="756"/>
      <c r="AD469" s="756"/>
      <c r="AE469" s="756"/>
      <c r="AF469" s="756"/>
      <c r="AG469" s="756"/>
      <c r="AH469" s="756"/>
      <c r="AI469" s="756"/>
      <c r="AJ469" s="756"/>
      <c r="AK469" s="756"/>
      <c r="AL469" s="756"/>
      <c r="AM469" s="756"/>
      <c r="AN469" s="756"/>
      <c r="AO469" s="756"/>
      <c r="AP469" s="756"/>
      <c r="AQ469" s="756"/>
      <c r="AR469" s="757"/>
      <c r="AS469" s="131"/>
    </row>
    <row r="470" spans="1:47" ht="9" customHeight="1" x14ac:dyDescent="0.3">
      <c r="A470" s="279"/>
      <c r="B470" s="111"/>
      <c r="C470" s="111"/>
      <c r="D470" s="137"/>
      <c r="E470" s="134"/>
      <c r="F470" s="1"/>
      <c r="G470" s="1"/>
      <c r="H470" s="1"/>
      <c r="I470" s="1"/>
      <c r="J470" s="1"/>
      <c r="K470" s="200"/>
      <c r="L470" s="126"/>
      <c r="M470" s="241"/>
      <c r="N470" s="241"/>
      <c r="O470" s="241"/>
      <c r="P470" s="241"/>
      <c r="Q470" s="241"/>
      <c r="R470" s="241"/>
      <c r="S470" s="241"/>
      <c r="T470" s="241"/>
      <c r="U470" s="241"/>
      <c r="V470" s="241"/>
      <c r="W470" s="241"/>
      <c r="X470" s="241"/>
      <c r="Y470" s="241"/>
      <c r="Z470" s="241"/>
      <c r="AA470" s="241"/>
      <c r="AB470" s="241"/>
      <c r="AC470" s="241"/>
      <c r="AD470" s="241"/>
      <c r="AE470" s="241"/>
      <c r="AF470" s="241"/>
      <c r="AG470" s="241"/>
      <c r="AH470" s="241"/>
      <c r="AI470" s="241"/>
      <c r="AJ470" s="241"/>
      <c r="AK470" s="241"/>
      <c r="AL470" s="241"/>
      <c r="AM470" s="241"/>
      <c r="AN470" s="241"/>
      <c r="AO470" s="241"/>
      <c r="AP470" s="241"/>
      <c r="AQ470" s="241"/>
      <c r="AR470" s="241"/>
      <c r="AS470" s="131"/>
    </row>
    <row r="471" spans="1:47" ht="25.5" customHeight="1" x14ac:dyDescent="0.35">
      <c r="A471" s="279" t="s">
        <v>1367</v>
      </c>
      <c r="B471" s="111"/>
      <c r="C471" s="111"/>
      <c r="D471" s="111"/>
      <c r="E471" s="139" t="str">
        <f>IF(calculations!AC256&gt;1,"check only one box","")</f>
        <v/>
      </c>
      <c r="F471" s="1"/>
      <c r="G471" s="1"/>
      <c r="H471" s="1"/>
      <c r="I471" s="1"/>
      <c r="J471" s="1"/>
      <c r="K471" s="1"/>
      <c r="L471" s="110"/>
      <c r="M471" s="764" t="str">
        <f>IF(calculations!D72,"","All assembly areas are provided with illuminated EXIT signs and emergency lighting to illuminate the pathway to each means of egress.")</f>
        <v>All assembly areas are provided with illuminated EXIT signs and emergency lighting to illuminate the pathway to each means of egress.</v>
      </c>
      <c r="N471" s="765"/>
      <c r="O471" s="765"/>
      <c r="P471" s="765"/>
      <c r="Q471" s="765"/>
      <c r="R471" s="765"/>
      <c r="S471" s="765"/>
      <c r="T471" s="765"/>
      <c r="U471" s="765"/>
      <c r="V471" s="765"/>
      <c r="W471" s="765"/>
      <c r="X471" s="765"/>
      <c r="Y471" s="765"/>
      <c r="Z471" s="765"/>
      <c r="AA471" s="765"/>
      <c r="AB471" s="765"/>
      <c r="AC471" s="765"/>
      <c r="AD471" s="765"/>
      <c r="AE471" s="765"/>
      <c r="AF471" s="765"/>
      <c r="AG471" s="765"/>
      <c r="AH471" s="765"/>
      <c r="AI471" s="765"/>
      <c r="AJ471" s="765"/>
      <c r="AK471" s="765"/>
      <c r="AL471" s="765"/>
      <c r="AM471" s="765"/>
      <c r="AN471" s="765"/>
      <c r="AO471" s="765"/>
      <c r="AP471" s="765"/>
      <c r="AQ471" s="765"/>
      <c r="AR471" s="766"/>
      <c r="AS471" s="131"/>
    </row>
    <row r="472" spans="1:47" ht="4.5" customHeight="1" x14ac:dyDescent="0.3">
      <c r="A472" s="136"/>
      <c r="B472" s="111"/>
      <c r="C472" s="111"/>
      <c r="D472" s="111"/>
      <c r="E472" s="121"/>
      <c r="F472" s="110"/>
      <c r="G472" s="110"/>
      <c r="H472" s="110"/>
      <c r="I472" s="110"/>
      <c r="J472" s="110"/>
      <c r="K472" s="110"/>
      <c r="L472" s="110"/>
      <c r="M472" s="316"/>
      <c r="N472" s="316"/>
      <c r="O472" s="316"/>
      <c r="P472" s="316"/>
      <c r="Q472" s="316"/>
      <c r="R472" s="316"/>
      <c r="S472" s="316"/>
      <c r="T472" s="316"/>
      <c r="U472" s="316"/>
      <c r="V472" s="316"/>
      <c r="W472" s="316"/>
      <c r="X472" s="316"/>
      <c r="Y472" s="316"/>
      <c r="Z472" s="316"/>
      <c r="AA472" s="316"/>
      <c r="AB472" s="316"/>
      <c r="AC472" s="316"/>
      <c r="AD472" s="316"/>
      <c r="AE472" s="316"/>
      <c r="AF472" s="316"/>
      <c r="AG472" s="316"/>
      <c r="AH472" s="316"/>
      <c r="AI472" s="316"/>
      <c r="AJ472" s="316"/>
      <c r="AK472" s="316"/>
      <c r="AL472" s="316"/>
      <c r="AM472" s="316"/>
      <c r="AN472" s="316"/>
      <c r="AO472" s="316"/>
      <c r="AP472" s="316"/>
      <c r="AQ472" s="316"/>
      <c r="AR472" s="316"/>
      <c r="AS472" s="131"/>
    </row>
    <row r="473" spans="1:47" ht="12.75" customHeight="1" x14ac:dyDescent="0.3">
      <c r="A473" s="136"/>
      <c r="B473" s="111"/>
      <c r="C473" s="111"/>
      <c r="D473" s="111"/>
      <c r="E473" s="121"/>
      <c r="F473" s="110"/>
      <c r="G473" s="110"/>
      <c r="H473" s="116" t="s">
        <v>700</v>
      </c>
      <c r="I473" s="111"/>
      <c r="J473" s="154"/>
      <c r="K473" s="154"/>
      <c r="L473" s="111"/>
      <c r="M473" s="764" t="s">
        <v>1816</v>
      </c>
      <c r="N473" s="765"/>
      <c r="O473" s="765"/>
      <c r="P473" s="765"/>
      <c r="Q473" s="765"/>
      <c r="R473" s="765"/>
      <c r="S473" s="765"/>
      <c r="T473" s="765"/>
      <c r="U473" s="765"/>
      <c r="V473" s="765"/>
      <c r="W473" s="765"/>
      <c r="X473" s="765"/>
      <c r="Y473" s="765"/>
      <c r="Z473" s="765"/>
      <c r="AA473" s="765"/>
      <c r="AB473" s="765"/>
      <c r="AC473" s="765"/>
      <c r="AD473" s="765"/>
      <c r="AE473" s="765"/>
      <c r="AF473" s="765"/>
      <c r="AG473" s="765"/>
      <c r="AH473" s="765"/>
      <c r="AI473" s="765"/>
      <c r="AJ473" s="765"/>
      <c r="AK473" s="765"/>
      <c r="AL473" s="765"/>
      <c r="AM473" s="765"/>
      <c r="AN473" s="765"/>
      <c r="AO473" s="765"/>
      <c r="AP473" s="765"/>
      <c r="AQ473" s="765"/>
      <c r="AR473" s="766"/>
      <c r="AS473" s="131"/>
    </row>
    <row r="474" spans="1:47" ht="4.5" customHeight="1" x14ac:dyDescent="0.3">
      <c r="A474" s="136"/>
      <c r="B474" s="111"/>
      <c r="C474" s="111"/>
      <c r="D474" s="111"/>
      <c r="E474" s="121"/>
      <c r="F474" s="110"/>
      <c r="G474" s="110"/>
      <c r="H474" s="110"/>
      <c r="I474" s="110"/>
      <c r="J474" s="110"/>
      <c r="K474" s="110"/>
      <c r="L474" s="110"/>
      <c r="M474" s="316"/>
      <c r="N474" s="316"/>
      <c r="O474" s="316"/>
      <c r="P474" s="316"/>
      <c r="Q474" s="316"/>
      <c r="R474" s="316"/>
      <c r="S474" s="316"/>
      <c r="T474" s="316"/>
      <c r="U474" s="316"/>
      <c r="V474" s="316"/>
      <c r="W474" s="316"/>
      <c r="X474" s="316"/>
      <c r="Y474" s="316"/>
      <c r="Z474" s="316"/>
      <c r="AA474" s="316"/>
      <c r="AB474" s="316"/>
      <c r="AC474" s="316"/>
      <c r="AD474" s="316"/>
      <c r="AE474" s="316"/>
      <c r="AF474" s="316"/>
      <c r="AG474" s="316"/>
      <c r="AH474" s="316"/>
      <c r="AI474" s="316"/>
      <c r="AJ474" s="316"/>
      <c r="AK474" s="316"/>
      <c r="AL474" s="316"/>
      <c r="AM474" s="316"/>
      <c r="AN474" s="316"/>
      <c r="AO474" s="316"/>
      <c r="AP474" s="316"/>
      <c r="AQ474" s="316"/>
      <c r="AR474" s="316"/>
      <c r="AS474" s="131"/>
      <c r="AT474" s="110"/>
    </row>
    <row r="475" spans="1:47" ht="133.5" customHeight="1" x14ac:dyDescent="0.35">
      <c r="A475" s="135" t="str">
        <f>IF(calculations!AM14,"REC","")</f>
        <v/>
      </c>
      <c r="B475" s="111"/>
      <c r="C475" s="111"/>
      <c r="D475" s="111"/>
      <c r="E475" s="139"/>
      <c r="F475" s="110"/>
      <c r="G475" s="111"/>
      <c r="H475" s="296" t="str">
        <f>IF(Rec!C204=1,"REC",IF(Rec!C204&gt;1,"RECS",""))</f>
        <v/>
      </c>
      <c r="I475" s="110"/>
      <c r="J475" s="110"/>
      <c r="K475" s="110"/>
      <c r="L475" s="110"/>
      <c r="M475" s="755" t="str">
        <f>IF(Rec!C204&gt;0,Rec!E204,"")</f>
        <v/>
      </c>
      <c r="N475" s="756"/>
      <c r="O475" s="756"/>
      <c r="P475" s="756"/>
      <c r="Q475" s="756"/>
      <c r="R475" s="756"/>
      <c r="S475" s="756"/>
      <c r="T475" s="756"/>
      <c r="U475" s="756"/>
      <c r="V475" s="756"/>
      <c r="W475" s="756"/>
      <c r="X475" s="756"/>
      <c r="Y475" s="756"/>
      <c r="Z475" s="756"/>
      <c r="AA475" s="756"/>
      <c r="AB475" s="756"/>
      <c r="AC475" s="756"/>
      <c r="AD475" s="756"/>
      <c r="AE475" s="756"/>
      <c r="AF475" s="756"/>
      <c r="AG475" s="756"/>
      <c r="AH475" s="756"/>
      <c r="AI475" s="756"/>
      <c r="AJ475" s="756"/>
      <c r="AK475" s="756"/>
      <c r="AL475" s="756"/>
      <c r="AM475" s="756"/>
      <c r="AN475" s="756"/>
      <c r="AO475" s="756"/>
      <c r="AP475" s="756"/>
      <c r="AQ475" s="756"/>
      <c r="AR475" s="757"/>
      <c r="AS475" s="244"/>
      <c r="AT475" s="244"/>
      <c r="AU475" s="244"/>
    </row>
    <row r="476" spans="1:47" ht="12.75" customHeight="1" x14ac:dyDescent="0.3">
      <c r="A476" s="136"/>
      <c r="B476" s="111"/>
      <c r="C476" s="111"/>
      <c r="D476" s="137"/>
      <c r="E476" s="121"/>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31"/>
    </row>
    <row r="477" spans="1:47" ht="14.15" x14ac:dyDescent="0.3">
      <c r="A477" s="279" t="s">
        <v>875</v>
      </c>
      <c r="B477" s="111"/>
      <c r="C477" s="111"/>
      <c r="D477" s="137" t="s">
        <v>884</v>
      </c>
      <c r="E477" s="121"/>
      <c r="F477" s="110"/>
      <c r="G477" s="110"/>
      <c r="H477" s="110"/>
      <c r="I477" s="110"/>
      <c r="J477" s="110"/>
      <c r="K477" s="110"/>
      <c r="L477" s="110"/>
      <c r="M477" s="110"/>
      <c r="N477" s="110"/>
      <c r="O477" s="141"/>
      <c r="P477" s="344" t="str">
        <f>IF(calculations!AH386=0,"","COMPLETE DETAILS FOR GRADE")</f>
        <v/>
      </c>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298" t="str">
        <f>calculations!U208</f>
        <v/>
      </c>
      <c r="AM477" s="110"/>
      <c r="AN477" s="110"/>
      <c r="AO477" s="110"/>
      <c r="AP477" s="110"/>
      <c r="AQ477" s="110"/>
      <c r="AR477" s="110"/>
      <c r="AS477" s="131"/>
    </row>
    <row r="478" spans="1:47" ht="4.5" customHeight="1" x14ac:dyDescent="0.3">
      <c r="A478" s="136"/>
      <c r="B478" s="111"/>
      <c r="C478" s="111"/>
      <c r="D478" s="137"/>
      <c r="E478" s="121"/>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31"/>
    </row>
    <row r="479" spans="1:47" ht="16.5" customHeight="1" x14ac:dyDescent="0.3">
      <c r="A479" s="279" t="s">
        <v>367</v>
      </c>
      <c r="B479" s="111"/>
      <c r="C479" s="111"/>
      <c r="D479" s="137"/>
      <c r="E479" s="267" t="str">
        <f>IF(V73="yes","ACCOMODATIONS","")</f>
        <v/>
      </c>
      <c r="F479" s="110"/>
      <c r="G479" s="110"/>
      <c r="H479" s="110"/>
      <c r="I479" s="110"/>
      <c r="J479" s="110"/>
      <c r="K479" s="110"/>
      <c r="L479" s="334"/>
      <c r="M479" s="755" t="str">
        <f>IF(V73="yes",IF(LEFT(V77,8)="Describe","Please enter description at line 1.6.2",V77),"")</f>
        <v/>
      </c>
      <c r="N479" s="756"/>
      <c r="O479" s="756"/>
      <c r="P479" s="756"/>
      <c r="Q479" s="756"/>
      <c r="R479" s="756"/>
      <c r="S479" s="756"/>
      <c r="T479" s="756"/>
      <c r="U479" s="756"/>
      <c r="V479" s="756"/>
      <c r="W479" s="756"/>
      <c r="X479" s="756"/>
      <c r="Y479" s="756"/>
      <c r="Z479" s="756"/>
      <c r="AA479" s="756"/>
      <c r="AB479" s="756"/>
      <c r="AC479" s="756"/>
      <c r="AD479" s="756"/>
      <c r="AE479" s="756"/>
      <c r="AF479" s="756"/>
      <c r="AG479" s="756"/>
      <c r="AH479" s="756"/>
      <c r="AI479" s="756"/>
      <c r="AJ479" s="756"/>
      <c r="AK479" s="756"/>
      <c r="AL479" s="756"/>
      <c r="AM479" s="756"/>
      <c r="AN479" s="756"/>
      <c r="AO479" s="756"/>
      <c r="AP479" s="756"/>
      <c r="AQ479" s="756"/>
      <c r="AR479" s="757"/>
      <c r="AS479" s="131"/>
    </row>
    <row r="480" spans="1:47" ht="9" customHeight="1" x14ac:dyDescent="0.3">
      <c r="A480" s="279"/>
      <c r="B480" s="111"/>
      <c r="C480" s="111"/>
      <c r="D480" s="137"/>
      <c r="E480" s="134"/>
      <c r="F480" s="1"/>
      <c r="G480" s="1"/>
      <c r="H480" s="1"/>
      <c r="I480" s="1"/>
      <c r="J480" s="1"/>
      <c r="K480" s="200" t="s">
        <v>1341</v>
      </c>
      <c r="L480" s="110"/>
      <c r="M480" s="241"/>
      <c r="N480" s="241"/>
      <c r="O480" s="241"/>
      <c r="P480" s="241"/>
      <c r="Q480" s="241"/>
      <c r="R480" s="241"/>
      <c r="S480" s="241"/>
      <c r="T480" s="241"/>
      <c r="U480" s="241"/>
      <c r="V480" s="241"/>
      <c r="W480" s="241"/>
      <c r="X480" s="241"/>
      <c r="Y480" s="241"/>
      <c r="Z480" s="241"/>
      <c r="AA480" s="241"/>
      <c r="AB480" s="241"/>
      <c r="AC480" s="241"/>
      <c r="AD480" s="241"/>
      <c r="AE480" s="241"/>
      <c r="AF480" s="241"/>
      <c r="AG480" s="241"/>
      <c r="AH480" s="241"/>
      <c r="AI480" s="241"/>
      <c r="AJ480" s="241"/>
      <c r="AK480" s="241"/>
      <c r="AL480" s="241"/>
      <c r="AM480" s="241"/>
      <c r="AN480" s="241"/>
      <c r="AO480" s="241"/>
      <c r="AP480" s="241"/>
      <c r="AQ480" s="241"/>
      <c r="AR480" s="241"/>
      <c r="AS480" s="131"/>
    </row>
    <row r="481" spans="1:48" ht="14.25" customHeight="1" x14ac:dyDescent="0.35">
      <c r="A481" s="279" t="s">
        <v>368</v>
      </c>
      <c r="B481" s="111"/>
      <c r="C481" s="111"/>
      <c r="D481" s="111"/>
      <c r="E481" s="139" t="str">
        <f>IF(calculations!AC266&gt;1,"check only one box","")</f>
        <v/>
      </c>
      <c r="F481" s="1"/>
      <c r="G481" s="1"/>
      <c r="H481" s="1"/>
      <c r="I481" s="1"/>
      <c r="J481" s="1"/>
      <c r="K481" s="1"/>
      <c r="L481" s="111"/>
      <c r="M481" s="764" t="str">
        <f>IF(V73="yes","All camper/guest sleeping facilities have smoke detectors in every room.","")</f>
        <v/>
      </c>
      <c r="N481" s="765"/>
      <c r="O481" s="765"/>
      <c r="P481" s="765"/>
      <c r="Q481" s="765"/>
      <c r="R481" s="765"/>
      <c r="S481" s="765"/>
      <c r="T481" s="765"/>
      <c r="U481" s="765"/>
      <c r="V481" s="765"/>
      <c r="W481" s="765"/>
      <c r="X481" s="765"/>
      <c r="Y481" s="765"/>
      <c r="Z481" s="765"/>
      <c r="AA481" s="765"/>
      <c r="AB481" s="765"/>
      <c r="AC481" s="765"/>
      <c r="AD481" s="765"/>
      <c r="AE481" s="765"/>
      <c r="AF481" s="765"/>
      <c r="AG481" s="765"/>
      <c r="AH481" s="765"/>
      <c r="AI481" s="765"/>
      <c r="AJ481" s="765"/>
      <c r="AK481" s="765"/>
      <c r="AL481" s="765"/>
      <c r="AM481" s="765"/>
      <c r="AN481" s="765"/>
      <c r="AO481" s="765"/>
      <c r="AP481" s="765"/>
      <c r="AQ481" s="765"/>
      <c r="AR481" s="766"/>
      <c r="AS481" s="131"/>
    </row>
    <row r="482" spans="1:48" ht="4.5" customHeight="1" x14ac:dyDescent="0.3">
      <c r="A482" s="279"/>
      <c r="B482" s="111"/>
      <c r="C482" s="111"/>
      <c r="D482" s="111"/>
      <c r="E482" s="134"/>
      <c r="F482" s="1"/>
      <c r="G482" s="1"/>
      <c r="H482" s="1"/>
      <c r="I482" s="1"/>
      <c r="J482" s="1"/>
      <c r="K482" s="200"/>
      <c r="L482" s="111"/>
      <c r="M482" s="316"/>
      <c r="N482" s="316"/>
      <c r="O482" s="316"/>
      <c r="P482" s="316"/>
      <c r="Q482" s="316"/>
      <c r="R482" s="316"/>
      <c r="S482" s="316"/>
      <c r="T482" s="316"/>
      <c r="U482" s="316"/>
      <c r="V482" s="316"/>
      <c r="W482" s="316"/>
      <c r="X482" s="316"/>
      <c r="Y482" s="316"/>
      <c r="Z482" s="316"/>
      <c r="AA482" s="316"/>
      <c r="AB482" s="316"/>
      <c r="AC482" s="316"/>
      <c r="AD482" s="316"/>
      <c r="AE482" s="316"/>
      <c r="AF482" s="316"/>
      <c r="AG482" s="316"/>
      <c r="AH482" s="316"/>
      <c r="AI482" s="316"/>
      <c r="AJ482" s="316"/>
      <c r="AK482" s="316"/>
      <c r="AL482" s="316"/>
      <c r="AM482" s="316"/>
      <c r="AN482" s="316"/>
      <c r="AO482" s="316"/>
      <c r="AP482" s="316"/>
      <c r="AQ482" s="316"/>
      <c r="AR482" s="316"/>
      <c r="AS482" s="131"/>
    </row>
    <row r="483" spans="1:48" ht="25.5" customHeight="1" x14ac:dyDescent="0.35">
      <c r="A483" s="279" t="s">
        <v>369</v>
      </c>
      <c r="B483" s="111"/>
      <c r="C483" s="111"/>
      <c r="D483" s="111"/>
      <c r="E483" s="139" t="str">
        <f>IF(calculations!AC268&gt;1,"check only one box","")</f>
        <v/>
      </c>
      <c r="F483" s="1"/>
      <c r="G483" s="1"/>
      <c r="H483" s="1"/>
      <c r="I483" s="1"/>
      <c r="J483" s="1"/>
      <c r="K483" s="1"/>
      <c r="L483" s="111"/>
      <c r="M483" s="764" t="str">
        <f>IF(V73="yes","All camper/guest sleeping facilities have two means of egress (an openable window will suffice if large enough and the room is on the grade level - note in comments below.)","")</f>
        <v/>
      </c>
      <c r="N483" s="765"/>
      <c r="O483" s="765"/>
      <c r="P483" s="765"/>
      <c r="Q483" s="765"/>
      <c r="R483" s="765"/>
      <c r="S483" s="765"/>
      <c r="T483" s="765"/>
      <c r="U483" s="765"/>
      <c r="V483" s="765"/>
      <c r="W483" s="765"/>
      <c r="X483" s="765"/>
      <c r="Y483" s="765"/>
      <c r="Z483" s="765"/>
      <c r="AA483" s="765"/>
      <c r="AB483" s="765"/>
      <c r="AC483" s="765"/>
      <c r="AD483" s="765"/>
      <c r="AE483" s="765"/>
      <c r="AF483" s="765"/>
      <c r="AG483" s="765"/>
      <c r="AH483" s="765"/>
      <c r="AI483" s="765"/>
      <c r="AJ483" s="765"/>
      <c r="AK483" s="765"/>
      <c r="AL483" s="765"/>
      <c r="AM483" s="765"/>
      <c r="AN483" s="765"/>
      <c r="AO483" s="765"/>
      <c r="AP483" s="765"/>
      <c r="AQ483" s="765"/>
      <c r="AR483" s="766"/>
      <c r="AS483" s="131"/>
    </row>
    <row r="484" spans="1:48" ht="4.5" customHeight="1" x14ac:dyDescent="0.3">
      <c r="A484" s="279"/>
      <c r="B484" s="111"/>
      <c r="C484" s="111"/>
      <c r="D484" s="111"/>
      <c r="E484" s="134"/>
      <c r="F484" s="1"/>
      <c r="G484" s="1"/>
      <c r="H484" s="1"/>
      <c r="I484" s="1"/>
      <c r="J484" s="1"/>
      <c r="K484" s="200"/>
      <c r="L484" s="111"/>
      <c r="M484" s="316"/>
      <c r="N484" s="316"/>
      <c r="O484" s="316"/>
      <c r="P484" s="316"/>
      <c r="Q484" s="316"/>
      <c r="R484" s="316"/>
      <c r="S484" s="316"/>
      <c r="T484" s="316"/>
      <c r="U484" s="316"/>
      <c r="V484" s="316"/>
      <c r="W484" s="316"/>
      <c r="X484" s="316"/>
      <c r="Y484" s="316"/>
      <c r="Z484" s="316"/>
      <c r="AA484" s="316"/>
      <c r="AB484" s="316"/>
      <c r="AC484" s="316"/>
      <c r="AD484" s="316"/>
      <c r="AE484" s="316"/>
      <c r="AF484" s="316"/>
      <c r="AG484" s="316"/>
      <c r="AH484" s="316"/>
      <c r="AI484" s="316"/>
      <c r="AJ484" s="316"/>
      <c r="AK484" s="316"/>
      <c r="AL484" s="316"/>
      <c r="AM484" s="316"/>
      <c r="AN484" s="316"/>
      <c r="AO484" s="316"/>
      <c r="AP484" s="316"/>
      <c r="AQ484" s="316"/>
      <c r="AR484" s="316"/>
      <c r="AS484" s="131"/>
      <c r="AT484" s="110"/>
    </row>
    <row r="485" spans="1:48" ht="25.5" customHeight="1" x14ac:dyDescent="0.35">
      <c r="A485" s="279" t="s">
        <v>370</v>
      </c>
      <c r="B485" s="111"/>
      <c r="C485" s="111"/>
      <c r="D485" s="111"/>
      <c r="E485" s="139" t="str">
        <f>IF(calculations!AC270&gt;1,"check only one box","")</f>
        <v/>
      </c>
      <c r="F485" s="1"/>
      <c r="G485" s="1"/>
      <c r="H485" s="1"/>
      <c r="I485" s="1"/>
      <c r="J485" s="1"/>
      <c r="K485" s="1"/>
      <c r="L485" s="111"/>
      <c r="M485" s="764" t="str">
        <f>IF(V73="yes","All camper/guest sleeping facilities have CO detectors are present if there is a fossil fuel heat source or water heater in or serving the space.","")</f>
        <v/>
      </c>
      <c r="N485" s="765"/>
      <c r="O485" s="765"/>
      <c r="P485" s="765"/>
      <c r="Q485" s="765"/>
      <c r="R485" s="765"/>
      <c r="S485" s="765"/>
      <c r="T485" s="765"/>
      <c r="U485" s="765"/>
      <c r="V485" s="765"/>
      <c r="W485" s="765"/>
      <c r="X485" s="765"/>
      <c r="Y485" s="765"/>
      <c r="Z485" s="765"/>
      <c r="AA485" s="765"/>
      <c r="AB485" s="765"/>
      <c r="AC485" s="765"/>
      <c r="AD485" s="765"/>
      <c r="AE485" s="765"/>
      <c r="AF485" s="765"/>
      <c r="AG485" s="765"/>
      <c r="AH485" s="765"/>
      <c r="AI485" s="765"/>
      <c r="AJ485" s="765"/>
      <c r="AK485" s="765"/>
      <c r="AL485" s="765"/>
      <c r="AM485" s="765"/>
      <c r="AN485" s="765"/>
      <c r="AO485" s="765"/>
      <c r="AP485" s="765"/>
      <c r="AQ485" s="765"/>
      <c r="AR485" s="766"/>
      <c r="AS485" s="131"/>
    </row>
    <row r="486" spans="1:48" ht="4.5" customHeight="1" x14ac:dyDescent="0.3">
      <c r="A486" s="279"/>
      <c r="B486" s="111"/>
      <c r="C486" s="111"/>
      <c r="D486" s="137"/>
      <c r="E486" s="134"/>
      <c r="F486" s="1"/>
      <c r="G486" s="1"/>
      <c r="H486" s="1"/>
      <c r="I486" s="1"/>
      <c r="J486" s="1"/>
      <c r="K486" s="200"/>
      <c r="L486" s="110"/>
      <c r="M486" s="241"/>
      <c r="N486" s="241"/>
      <c r="O486" s="241"/>
      <c r="P486" s="241"/>
      <c r="Q486" s="241"/>
      <c r="R486" s="241"/>
      <c r="S486" s="241"/>
      <c r="T486" s="241"/>
      <c r="U486" s="241"/>
      <c r="V486" s="241"/>
      <c r="W486" s="241"/>
      <c r="X486" s="241"/>
      <c r="Y486" s="241"/>
      <c r="Z486" s="241"/>
      <c r="AA486" s="241"/>
      <c r="AB486" s="241"/>
      <c r="AC486" s="241"/>
      <c r="AD486" s="241"/>
      <c r="AE486" s="241"/>
      <c r="AF486" s="241"/>
      <c r="AG486" s="241"/>
      <c r="AH486" s="241"/>
      <c r="AI486" s="241"/>
      <c r="AJ486" s="241"/>
      <c r="AK486" s="241"/>
      <c r="AL486" s="241"/>
      <c r="AM486" s="241"/>
      <c r="AN486" s="241"/>
      <c r="AO486" s="241"/>
      <c r="AP486" s="241"/>
      <c r="AQ486" s="241"/>
      <c r="AR486" s="241"/>
      <c r="AS486" s="131"/>
    </row>
    <row r="487" spans="1:48" ht="26.25" customHeight="1" x14ac:dyDescent="0.35">
      <c r="A487" s="279" t="s">
        <v>371</v>
      </c>
      <c r="B487" s="111"/>
      <c r="C487" s="111"/>
      <c r="D487" s="111"/>
      <c r="E487" s="139" t="str">
        <f>IF(calculations!AC272&gt;1,"check only one box","")</f>
        <v/>
      </c>
      <c r="F487" s="1"/>
      <c r="G487" s="1"/>
      <c r="H487" s="1"/>
      <c r="I487" s="1"/>
      <c r="J487" s="1"/>
      <c r="K487" s="1"/>
      <c r="L487" s="111"/>
      <c r="M487" s="764" t="str">
        <f>IF(V73="yes","All camper/guest sleeping facilities that sleep 16 or more individuals have emergency lighting and EXIT signs.","")</f>
        <v/>
      </c>
      <c r="N487" s="765"/>
      <c r="O487" s="765"/>
      <c r="P487" s="765"/>
      <c r="Q487" s="765"/>
      <c r="R487" s="765"/>
      <c r="S487" s="765"/>
      <c r="T487" s="765"/>
      <c r="U487" s="765"/>
      <c r="V487" s="765"/>
      <c r="W487" s="765"/>
      <c r="X487" s="765"/>
      <c r="Y487" s="765"/>
      <c r="Z487" s="765"/>
      <c r="AA487" s="765"/>
      <c r="AB487" s="765"/>
      <c r="AC487" s="765"/>
      <c r="AD487" s="765"/>
      <c r="AE487" s="765"/>
      <c r="AF487" s="765"/>
      <c r="AG487" s="765"/>
      <c r="AH487" s="765"/>
      <c r="AI487" s="765"/>
      <c r="AJ487" s="765"/>
      <c r="AK487" s="765"/>
      <c r="AL487" s="765"/>
      <c r="AM487" s="765"/>
      <c r="AN487" s="765"/>
      <c r="AO487" s="765"/>
      <c r="AP487" s="765"/>
      <c r="AQ487" s="765"/>
      <c r="AR487" s="766"/>
      <c r="AS487" s="131"/>
    </row>
    <row r="488" spans="1:48" ht="4.5" customHeight="1" x14ac:dyDescent="0.3">
      <c r="A488" s="279"/>
      <c r="B488" s="111"/>
      <c r="C488" s="111"/>
      <c r="D488" s="111"/>
      <c r="E488" s="134"/>
      <c r="F488" s="1"/>
      <c r="G488" s="1"/>
      <c r="H488" s="1"/>
      <c r="I488" s="1"/>
      <c r="J488" s="1"/>
      <c r="K488" s="200"/>
      <c r="L488" s="111"/>
      <c r="M488" s="316"/>
      <c r="N488" s="316"/>
      <c r="O488" s="316"/>
      <c r="P488" s="316"/>
      <c r="Q488" s="316"/>
      <c r="R488" s="316"/>
      <c r="S488" s="316"/>
      <c r="T488" s="316"/>
      <c r="U488" s="316"/>
      <c r="V488" s="316"/>
      <c r="W488" s="316"/>
      <c r="X488" s="316"/>
      <c r="Y488" s="316"/>
      <c r="Z488" s="316"/>
      <c r="AA488" s="316"/>
      <c r="AB488" s="316"/>
      <c r="AC488" s="316"/>
      <c r="AD488" s="316"/>
      <c r="AE488" s="316"/>
      <c r="AF488" s="316"/>
      <c r="AG488" s="316"/>
      <c r="AH488" s="316"/>
      <c r="AI488" s="316"/>
      <c r="AJ488" s="316"/>
      <c r="AK488" s="316"/>
      <c r="AL488" s="316"/>
      <c r="AM488" s="316"/>
      <c r="AN488" s="316"/>
      <c r="AO488" s="316"/>
      <c r="AP488" s="316"/>
      <c r="AQ488" s="316"/>
      <c r="AR488" s="316"/>
      <c r="AS488" s="131"/>
    </row>
    <row r="489" spans="1:48" ht="25.5" customHeight="1" x14ac:dyDescent="0.35">
      <c r="A489" s="279" t="s">
        <v>1368</v>
      </c>
      <c r="B489" s="111"/>
      <c r="C489" s="111"/>
      <c r="D489" s="111"/>
      <c r="E489" s="139" t="str">
        <f>IF(calculations!AC274&gt;1,"check only one box","")</f>
        <v/>
      </c>
      <c r="F489" s="1"/>
      <c r="G489" s="1"/>
      <c r="H489" s="1"/>
      <c r="I489" s="1"/>
      <c r="J489" s="1"/>
      <c r="K489" s="1"/>
      <c r="L489" s="111"/>
      <c r="M489" s="764" t="str">
        <f>IF(V73="yes","All camper/guest accomodation buildings with more than one story or sleeping 50 or more have manual-pull local fire alarms.","")</f>
        <v/>
      </c>
      <c r="N489" s="765"/>
      <c r="O489" s="765"/>
      <c r="P489" s="765"/>
      <c r="Q489" s="765"/>
      <c r="R489" s="765"/>
      <c r="S489" s="765"/>
      <c r="T489" s="765"/>
      <c r="U489" s="765"/>
      <c r="V489" s="765"/>
      <c r="W489" s="765"/>
      <c r="X489" s="765"/>
      <c r="Y489" s="765"/>
      <c r="Z489" s="765"/>
      <c r="AA489" s="765"/>
      <c r="AB489" s="765"/>
      <c r="AC489" s="765"/>
      <c r="AD489" s="765"/>
      <c r="AE489" s="765"/>
      <c r="AF489" s="765"/>
      <c r="AG489" s="765"/>
      <c r="AH489" s="765"/>
      <c r="AI489" s="765"/>
      <c r="AJ489" s="765"/>
      <c r="AK489" s="765"/>
      <c r="AL489" s="765"/>
      <c r="AM489" s="765"/>
      <c r="AN489" s="765"/>
      <c r="AO489" s="765"/>
      <c r="AP489" s="765"/>
      <c r="AQ489" s="765"/>
      <c r="AR489" s="766"/>
      <c r="AS489" s="131"/>
      <c r="AV489" s="256"/>
    </row>
    <row r="490" spans="1:48" ht="4.5" customHeight="1" x14ac:dyDescent="0.3">
      <c r="A490" s="279"/>
      <c r="B490" s="111"/>
      <c r="C490" s="111"/>
      <c r="D490" s="111"/>
      <c r="E490" s="134"/>
      <c r="F490" s="1"/>
      <c r="G490" s="1"/>
      <c r="H490" s="1"/>
      <c r="I490" s="1"/>
      <c r="J490" s="1"/>
      <c r="K490" s="200"/>
      <c r="L490" s="111"/>
      <c r="M490" s="316"/>
      <c r="N490" s="316"/>
      <c r="O490" s="316"/>
      <c r="P490" s="316"/>
      <c r="Q490" s="316"/>
      <c r="R490" s="316"/>
      <c r="S490" s="316"/>
      <c r="T490" s="316"/>
      <c r="U490" s="316"/>
      <c r="V490" s="316"/>
      <c r="W490" s="316"/>
      <c r="X490" s="316"/>
      <c r="Y490" s="316"/>
      <c r="Z490" s="316"/>
      <c r="AA490" s="316"/>
      <c r="AB490" s="316"/>
      <c r="AC490" s="316"/>
      <c r="AD490" s="316"/>
      <c r="AE490" s="316"/>
      <c r="AF490" s="316"/>
      <c r="AG490" s="316"/>
      <c r="AH490" s="316"/>
      <c r="AI490" s="316"/>
      <c r="AJ490" s="316"/>
      <c r="AK490" s="316"/>
      <c r="AL490" s="316"/>
      <c r="AM490" s="316"/>
      <c r="AN490" s="316"/>
      <c r="AO490" s="316"/>
      <c r="AP490" s="316"/>
      <c r="AQ490" s="316"/>
      <c r="AR490" s="316"/>
      <c r="AS490" s="131"/>
    </row>
    <row r="491" spans="1:48" ht="27.75" customHeight="1" x14ac:dyDescent="0.35">
      <c r="A491" s="279" t="s">
        <v>1369</v>
      </c>
      <c r="B491" s="111"/>
      <c r="C491" s="111"/>
      <c r="D491" s="111"/>
      <c r="E491" s="139" t="str">
        <f>IF(calculations!AC276&gt;1,"check only one box","")</f>
        <v/>
      </c>
      <c r="F491" s="1"/>
      <c r="G491" s="1"/>
      <c r="H491" s="1"/>
      <c r="I491" s="1"/>
      <c r="J491" s="1"/>
      <c r="K491" s="1"/>
      <c r="L491" s="111"/>
      <c r="M491" s="764" t="str">
        <f>IF(V73="yes","Camper sleeping quarters 1) always have counselors sleeping in them and 2) are arranged so that the counselors have a view of all beds (i.e., there are no hidden nooks or corners).","")</f>
        <v/>
      </c>
      <c r="N491" s="765"/>
      <c r="O491" s="765"/>
      <c r="P491" s="765"/>
      <c r="Q491" s="765"/>
      <c r="R491" s="765"/>
      <c r="S491" s="765"/>
      <c r="T491" s="765"/>
      <c r="U491" s="765"/>
      <c r="V491" s="765"/>
      <c r="W491" s="765"/>
      <c r="X491" s="765"/>
      <c r="Y491" s="765"/>
      <c r="Z491" s="765"/>
      <c r="AA491" s="765"/>
      <c r="AB491" s="765"/>
      <c r="AC491" s="765"/>
      <c r="AD491" s="765"/>
      <c r="AE491" s="765"/>
      <c r="AF491" s="765"/>
      <c r="AG491" s="765"/>
      <c r="AH491" s="765"/>
      <c r="AI491" s="765"/>
      <c r="AJ491" s="765"/>
      <c r="AK491" s="765"/>
      <c r="AL491" s="765"/>
      <c r="AM491" s="765"/>
      <c r="AN491" s="765"/>
      <c r="AO491" s="765"/>
      <c r="AP491" s="765"/>
      <c r="AQ491" s="765"/>
      <c r="AR491" s="766"/>
      <c r="AS491" s="131"/>
    </row>
    <row r="492" spans="1:48" ht="4.5" customHeight="1" x14ac:dyDescent="0.3">
      <c r="A492" s="279"/>
      <c r="B492" s="111"/>
      <c r="C492" s="111"/>
      <c r="D492" s="111"/>
      <c r="E492" s="134"/>
      <c r="F492" s="1"/>
      <c r="G492" s="1"/>
      <c r="H492" s="1"/>
      <c r="I492" s="1"/>
      <c r="J492" s="1"/>
      <c r="K492" s="200"/>
      <c r="L492" s="111"/>
      <c r="M492" s="316"/>
      <c r="N492" s="316"/>
      <c r="O492" s="316"/>
      <c r="P492" s="316"/>
      <c r="Q492" s="316"/>
      <c r="R492" s="316"/>
      <c r="S492" s="316"/>
      <c r="T492" s="316"/>
      <c r="U492" s="316"/>
      <c r="V492" s="316"/>
      <c r="W492" s="316"/>
      <c r="X492" s="316"/>
      <c r="Y492" s="316"/>
      <c r="Z492" s="316"/>
      <c r="AA492" s="316"/>
      <c r="AB492" s="316"/>
      <c r="AC492" s="316"/>
      <c r="AD492" s="316"/>
      <c r="AE492" s="316"/>
      <c r="AF492" s="316"/>
      <c r="AG492" s="316"/>
      <c r="AH492" s="316"/>
      <c r="AI492" s="316"/>
      <c r="AJ492" s="316"/>
      <c r="AK492" s="316"/>
      <c r="AL492" s="316"/>
      <c r="AM492" s="316"/>
      <c r="AN492" s="316"/>
      <c r="AO492" s="316"/>
      <c r="AP492" s="316"/>
      <c r="AQ492" s="316"/>
      <c r="AR492" s="316"/>
      <c r="AS492" s="131"/>
      <c r="AT492" s="110"/>
    </row>
    <row r="493" spans="1:48" ht="26.25" customHeight="1" x14ac:dyDescent="0.35">
      <c r="A493" s="279" t="s">
        <v>1370</v>
      </c>
      <c r="B493" s="111"/>
      <c r="C493" s="111"/>
      <c r="D493" s="111"/>
      <c r="E493" s="139" t="str">
        <f>IF(calculations!AC278&gt;1,"check only one box","")</f>
        <v/>
      </c>
      <c r="F493" s="1"/>
      <c r="G493" s="1"/>
      <c r="H493" s="1"/>
      <c r="I493" s="1"/>
      <c r="J493" s="1"/>
      <c r="K493" s="1"/>
      <c r="L493" s="111"/>
      <c r="M493" s="764" t="str">
        <f>IF(V73="yes","Camper cabins' exterior doors either cannot be locked or staff (including counselors) carry the key with them at all times.","")</f>
        <v/>
      </c>
      <c r="N493" s="765"/>
      <c r="O493" s="765"/>
      <c r="P493" s="765"/>
      <c r="Q493" s="765"/>
      <c r="R493" s="765"/>
      <c r="S493" s="765"/>
      <c r="T493" s="765"/>
      <c r="U493" s="765"/>
      <c r="V493" s="765"/>
      <c r="W493" s="765"/>
      <c r="X493" s="765"/>
      <c r="Y493" s="765"/>
      <c r="Z493" s="765"/>
      <c r="AA493" s="765"/>
      <c r="AB493" s="765"/>
      <c r="AC493" s="765"/>
      <c r="AD493" s="765"/>
      <c r="AE493" s="765"/>
      <c r="AF493" s="765"/>
      <c r="AG493" s="765"/>
      <c r="AH493" s="765"/>
      <c r="AI493" s="765"/>
      <c r="AJ493" s="765"/>
      <c r="AK493" s="765"/>
      <c r="AL493" s="765"/>
      <c r="AM493" s="765"/>
      <c r="AN493" s="765"/>
      <c r="AO493" s="765"/>
      <c r="AP493" s="765"/>
      <c r="AQ493" s="765"/>
      <c r="AR493" s="766"/>
      <c r="AS493" s="131"/>
    </row>
    <row r="494" spans="1:48" ht="4.5" customHeight="1" x14ac:dyDescent="0.3">
      <c r="A494" s="279"/>
      <c r="B494" s="111"/>
      <c r="C494" s="111"/>
      <c r="D494" s="137"/>
      <c r="E494" s="134"/>
      <c r="F494" s="1"/>
      <c r="G494" s="1"/>
      <c r="H494" s="1"/>
      <c r="I494" s="1"/>
      <c r="J494" s="1"/>
      <c r="K494" s="200"/>
      <c r="L494" s="110"/>
      <c r="M494" s="241"/>
      <c r="N494" s="241"/>
      <c r="O494" s="241"/>
      <c r="P494" s="241"/>
      <c r="Q494" s="241"/>
      <c r="R494" s="241"/>
      <c r="S494" s="241"/>
      <c r="T494" s="241"/>
      <c r="U494" s="241"/>
      <c r="V494" s="241"/>
      <c r="W494" s="241"/>
      <c r="X494" s="241"/>
      <c r="Y494" s="241"/>
      <c r="Z494" s="241"/>
      <c r="AA494" s="241"/>
      <c r="AB494" s="241"/>
      <c r="AC494" s="241"/>
      <c r="AD494" s="241"/>
      <c r="AE494" s="241"/>
      <c r="AF494" s="241"/>
      <c r="AG494" s="241"/>
      <c r="AH494" s="241"/>
      <c r="AI494" s="241"/>
      <c r="AJ494" s="241"/>
      <c r="AK494" s="241"/>
      <c r="AL494" s="241"/>
      <c r="AM494" s="241"/>
      <c r="AN494" s="241"/>
      <c r="AO494" s="241"/>
      <c r="AP494" s="241"/>
      <c r="AQ494" s="241"/>
      <c r="AR494" s="241"/>
      <c r="AS494" s="131"/>
    </row>
    <row r="495" spans="1:48" ht="25.5" customHeight="1" x14ac:dyDescent="0.35">
      <c r="A495" s="279" t="s">
        <v>1371</v>
      </c>
      <c r="B495" s="111"/>
      <c r="C495" s="111"/>
      <c r="D495" s="137"/>
      <c r="E495" s="139" t="str">
        <f>IF(calculations!AC281&gt;1,"check only one box","")</f>
        <v/>
      </c>
      <c r="F495" s="1"/>
      <c r="G495" s="1"/>
      <c r="H495" s="1"/>
      <c r="I495" s="1"/>
      <c r="J495" s="1"/>
      <c r="K495" s="1"/>
      <c r="L495" s="110"/>
      <c r="M495" s="755" t="str">
        <f>IF(V73="yes","Windows in camper cabins either have no curtains or the curtains are kept open except during times of dressing or sleeping.","")</f>
        <v/>
      </c>
      <c r="N495" s="756"/>
      <c r="O495" s="756"/>
      <c r="P495" s="756"/>
      <c r="Q495" s="756"/>
      <c r="R495" s="756"/>
      <c r="S495" s="756"/>
      <c r="T495" s="756"/>
      <c r="U495" s="756"/>
      <c r="V495" s="756"/>
      <c r="W495" s="756"/>
      <c r="X495" s="756"/>
      <c r="Y495" s="756"/>
      <c r="Z495" s="756"/>
      <c r="AA495" s="756"/>
      <c r="AB495" s="756"/>
      <c r="AC495" s="756"/>
      <c r="AD495" s="756"/>
      <c r="AE495" s="756"/>
      <c r="AF495" s="756"/>
      <c r="AG495" s="756"/>
      <c r="AH495" s="756"/>
      <c r="AI495" s="756"/>
      <c r="AJ495" s="756"/>
      <c r="AK495" s="756"/>
      <c r="AL495" s="756"/>
      <c r="AM495" s="756"/>
      <c r="AN495" s="756"/>
      <c r="AO495" s="756"/>
      <c r="AP495" s="756"/>
      <c r="AQ495" s="756"/>
      <c r="AR495" s="757"/>
      <c r="AS495" s="131"/>
    </row>
    <row r="496" spans="1:48" ht="4.5" customHeight="1" x14ac:dyDescent="0.3">
      <c r="F496" s="110"/>
      <c r="G496" s="110"/>
      <c r="H496" s="110"/>
      <c r="I496" s="110"/>
      <c r="J496" s="110"/>
      <c r="K496" s="110"/>
      <c r="L496" s="110"/>
      <c r="M496" s="276"/>
      <c r="N496" s="276"/>
      <c r="O496" s="276"/>
      <c r="P496" s="276"/>
      <c r="Q496" s="276"/>
      <c r="R496" s="276"/>
      <c r="S496" s="276"/>
      <c r="T496" s="276"/>
      <c r="U496" s="276"/>
      <c r="V496" s="276"/>
      <c r="W496" s="276"/>
      <c r="X496" s="276"/>
      <c r="Y496" s="276"/>
      <c r="Z496" s="276"/>
      <c r="AA496" s="276"/>
      <c r="AB496" s="276"/>
      <c r="AC496" s="276"/>
      <c r="AD496" s="276"/>
      <c r="AE496" s="276"/>
      <c r="AF496" s="276"/>
      <c r="AG496" s="276"/>
      <c r="AH496" s="276"/>
      <c r="AI496" s="276"/>
      <c r="AJ496" s="276"/>
      <c r="AK496" s="276"/>
      <c r="AL496" s="276"/>
      <c r="AM496" s="276"/>
      <c r="AN496" s="276"/>
      <c r="AO496" s="276"/>
      <c r="AP496" s="276"/>
      <c r="AQ496" s="276"/>
      <c r="AR496" s="276"/>
    </row>
    <row r="497" spans="1:48" s="110" customFormat="1" ht="12.9" x14ac:dyDescent="0.35">
      <c r="A497" s="136"/>
      <c r="B497" s="111"/>
      <c r="C497" s="111"/>
      <c r="D497" s="111"/>
      <c r="E497" s="139" t="str">
        <f>IF(calculations!AO27&gt;1,"check only one box","")</f>
        <v/>
      </c>
      <c r="F497" s="138"/>
      <c r="G497" s="111"/>
      <c r="H497" s="116" t="str">
        <f>IF(V73="yes","COMMENTS","")</f>
        <v/>
      </c>
      <c r="I497" s="111"/>
      <c r="J497" s="154"/>
      <c r="K497" s="154"/>
      <c r="L497" s="111"/>
      <c r="M497" s="764"/>
      <c r="N497" s="765"/>
      <c r="O497" s="765"/>
      <c r="P497" s="765"/>
      <c r="Q497" s="765"/>
      <c r="R497" s="765"/>
      <c r="S497" s="765"/>
      <c r="T497" s="765"/>
      <c r="U497" s="765"/>
      <c r="V497" s="765"/>
      <c r="W497" s="765"/>
      <c r="X497" s="765"/>
      <c r="Y497" s="765"/>
      <c r="Z497" s="765"/>
      <c r="AA497" s="765"/>
      <c r="AB497" s="765"/>
      <c r="AC497" s="765"/>
      <c r="AD497" s="765"/>
      <c r="AE497" s="765"/>
      <c r="AF497" s="765"/>
      <c r="AG497" s="765"/>
      <c r="AH497" s="765"/>
      <c r="AI497" s="765"/>
      <c r="AJ497" s="765"/>
      <c r="AK497" s="765"/>
      <c r="AL497" s="765"/>
      <c r="AM497" s="765"/>
      <c r="AN497" s="765"/>
      <c r="AO497" s="765"/>
      <c r="AP497" s="765"/>
      <c r="AQ497" s="765"/>
      <c r="AR497" s="766"/>
      <c r="AS497" s="131"/>
      <c r="AT497" s="111"/>
      <c r="AU497" s="111"/>
      <c r="AV497" s="111"/>
    </row>
    <row r="498" spans="1:48" s="110" customFormat="1" ht="4.5" customHeight="1" x14ac:dyDescent="0.35">
      <c r="A498" s="136"/>
      <c r="B498" s="111"/>
      <c r="C498" s="111"/>
      <c r="D498" s="111"/>
      <c r="E498" s="139"/>
      <c r="F498" s="138"/>
      <c r="G498" s="111"/>
      <c r="H498" s="111"/>
      <c r="I498" s="111"/>
      <c r="J498" s="154"/>
      <c r="K498" s="154"/>
      <c r="L498" s="111"/>
      <c r="M498" s="316"/>
      <c r="N498" s="316"/>
      <c r="O498" s="316"/>
      <c r="P498" s="316"/>
      <c r="Q498" s="316"/>
      <c r="R498" s="316"/>
      <c r="S498" s="316"/>
      <c r="T498" s="316"/>
      <c r="U498" s="316"/>
      <c r="V498" s="316"/>
      <c r="W498" s="316"/>
      <c r="X498" s="316"/>
      <c r="Y498" s="316"/>
      <c r="Z498" s="316"/>
      <c r="AA498" s="316"/>
      <c r="AB498" s="316"/>
      <c r="AC498" s="316"/>
      <c r="AD498" s="316"/>
      <c r="AE498" s="316"/>
      <c r="AF498" s="316"/>
      <c r="AG498" s="316"/>
      <c r="AH498" s="316"/>
      <c r="AI498" s="316"/>
      <c r="AJ498" s="316"/>
      <c r="AK498" s="316"/>
      <c r="AL498" s="316"/>
      <c r="AM498" s="316"/>
      <c r="AN498" s="316"/>
      <c r="AO498" s="316"/>
      <c r="AP498" s="316"/>
      <c r="AQ498" s="316"/>
      <c r="AR498" s="316"/>
      <c r="AS498" s="131"/>
      <c r="AT498" s="111"/>
      <c r="AU498" s="111"/>
      <c r="AV498" s="111"/>
    </row>
    <row r="499" spans="1:48" s="110" customFormat="1" ht="145.5" customHeight="1" x14ac:dyDescent="0.35">
      <c r="A499" s="135" t="str">
        <f>IF(calculations!AM26,"REC","")</f>
        <v/>
      </c>
      <c r="B499" s="111"/>
      <c r="C499" s="111"/>
      <c r="D499" s="111"/>
      <c r="E499" s="139"/>
      <c r="F499" s="138"/>
      <c r="G499" s="111"/>
      <c r="H499" s="296" t="str">
        <f>IF(Rec!C212=1,"REC",IF(Rec!C212&gt;1,"RECS",""))</f>
        <v/>
      </c>
      <c r="I499" s="111"/>
      <c r="J499" s="154"/>
      <c r="K499" s="154"/>
      <c r="L499" s="111"/>
      <c r="M499" s="755" t="str">
        <f>IF(Rec!C212&gt;0,Rec!E212,"")</f>
        <v/>
      </c>
      <c r="N499" s="756"/>
      <c r="O499" s="756"/>
      <c r="P499" s="756"/>
      <c r="Q499" s="756"/>
      <c r="R499" s="756"/>
      <c r="S499" s="756"/>
      <c r="T499" s="756"/>
      <c r="U499" s="756"/>
      <c r="V499" s="756"/>
      <c r="W499" s="756"/>
      <c r="X499" s="756"/>
      <c r="Y499" s="756"/>
      <c r="Z499" s="756"/>
      <c r="AA499" s="756"/>
      <c r="AB499" s="756"/>
      <c r="AC499" s="756"/>
      <c r="AD499" s="756"/>
      <c r="AE499" s="756"/>
      <c r="AF499" s="756"/>
      <c r="AG499" s="756"/>
      <c r="AH499" s="756"/>
      <c r="AI499" s="756"/>
      <c r="AJ499" s="756"/>
      <c r="AK499" s="756"/>
      <c r="AL499" s="756"/>
      <c r="AM499" s="756"/>
      <c r="AN499" s="756"/>
      <c r="AO499" s="756"/>
      <c r="AP499" s="756"/>
      <c r="AQ499" s="756"/>
      <c r="AR499" s="757"/>
      <c r="AS499" s="131"/>
      <c r="AT499" s="111"/>
      <c r="AU499" s="111"/>
      <c r="AV499" s="111"/>
    </row>
    <row r="500" spans="1:48" s="110" customFormat="1" ht="14.15" x14ac:dyDescent="0.3">
      <c r="A500" s="136"/>
      <c r="B500" s="111"/>
      <c r="C500" s="111"/>
      <c r="D500" s="137"/>
      <c r="E500" s="121"/>
      <c r="AS500" s="131"/>
      <c r="AT500" s="111"/>
      <c r="AU500" s="111"/>
      <c r="AV500" s="111"/>
    </row>
    <row r="501" spans="1:48" s="110" customFormat="1" ht="14.15" x14ac:dyDescent="0.3">
      <c r="A501" s="279" t="s">
        <v>1372</v>
      </c>
      <c r="B501" s="111"/>
      <c r="C501" s="111"/>
      <c r="D501" s="137" t="s">
        <v>883</v>
      </c>
      <c r="E501" s="121"/>
      <c r="AL501" s="309" t="str">
        <f>calculations!U218</f>
        <v/>
      </c>
      <c r="AS501" s="131"/>
      <c r="AT501" s="111"/>
      <c r="AU501" s="111"/>
      <c r="AV501" s="111"/>
    </row>
    <row r="502" spans="1:48" s="110" customFormat="1" ht="4.5" customHeight="1" x14ac:dyDescent="0.3">
      <c r="A502" s="279"/>
      <c r="B502" s="111"/>
      <c r="C502" s="111"/>
      <c r="D502" s="137"/>
      <c r="E502" s="121"/>
      <c r="AS502" s="131"/>
      <c r="AT502" s="111"/>
      <c r="AU502" s="111"/>
      <c r="AV502" s="111"/>
    </row>
    <row r="503" spans="1:48" s="110" customFormat="1" ht="37.5" customHeight="1" x14ac:dyDescent="0.3">
      <c r="A503" s="279" t="s">
        <v>372</v>
      </c>
      <c r="B503" s="111"/>
      <c r="C503" s="111"/>
      <c r="D503" s="137"/>
      <c r="E503" s="266" t="s">
        <v>882</v>
      </c>
      <c r="M503" s="761" t="s">
        <v>678</v>
      </c>
      <c r="N503" s="762"/>
      <c r="O503" s="762"/>
      <c r="P503" s="762"/>
      <c r="Q503" s="763"/>
      <c r="R503" s="241"/>
      <c r="S503" s="755" t="str">
        <f>IF(M503="public system",forms!A236,IF(M503="private system",forms!A237,IF(M503="public &amp; private",forms!A238,"")))</f>
        <v/>
      </c>
      <c r="T503" s="756"/>
      <c r="U503" s="756"/>
      <c r="V503" s="756"/>
      <c r="W503" s="756"/>
      <c r="X503" s="756"/>
      <c r="Y503" s="756"/>
      <c r="Z503" s="756"/>
      <c r="AA503" s="756"/>
      <c r="AB503" s="756"/>
      <c r="AC503" s="756"/>
      <c r="AD503" s="756"/>
      <c r="AE503" s="756"/>
      <c r="AF503" s="756"/>
      <c r="AG503" s="756"/>
      <c r="AH503" s="756"/>
      <c r="AI503" s="756"/>
      <c r="AJ503" s="756"/>
      <c r="AK503" s="756"/>
      <c r="AL503" s="756"/>
      <c r="AM503" s="756"/>
      <c r="AN503" s="756"/>
      <c r="AO503" s="756"/>
      <c r="AP503" s="756"/>
      <c r="AQ503" s="756"/>
      <c r="AR503" s="757"/>
      <c r="AS503" s="131"/>
      <c r="AT503" s="111"/>
    </row>
    <row r="504" spans="1:48" s="110" customFormat="1" ht="4.5" customHeight="1" x14ac:dyDescent="0.3">
      <c r="A504" s="279"/>
      <c r="B504" s="111"/>
      <c r="C504" s="111"/>
      <c r="D504" s="137"/>
      <c r="E504" s="184"/>
      <c r="M504" s="241"/>
      <c r="N504" s="241"/>
      <c r="O504" s="241"/>
      <c r="P504" s="241"/>
      <c r="Q504" s="241"/>
      <c r="R504" s="241"/>
      <c r="S504" s="241"/>
      <c r="T504" s="241"/>
      <c r="U504" s="241"/>
      <c r="V504" s="241"/>
      <c r="W504" s="241"/>
      <c r="X504" s="241"/>
      <c r="Y504" s="241"/>
      <c r="Z504" s="241"/>
      <c r="AA504" s="241"/>
      <c r="AB504" s="241"/>
      <c r="AC504" s="241"/>
      <c r="AD504" s="241"/>
      <c r="AE504" s="241"/>
      <c r="AF504" s="241"/>
      <c r="AG504" s="241"/>
      <c r="AH504" s="241"/>
      <c r="AI504" s="241"/>
      <c r="AJ504" s="241"/>
      <c r="AK504" s="241"/>
      <c r="AL504" s="241"/>
      <c r="AM504" s="241"/>
      <c r="AN504" s="241"/>
      <c r="AO504" s="241"/>
      <c r="AP504" s="241"/>
      <c r="AQ504" s="241"/>
      <c r="AR504" s="241"/>
      <c r="AS504" s="131"/>
      <c r="AT504" s="111"/>
      <c r="AU504" s="111"/>
      <c r="AV504" s="111"/>
    </row>
    <row r="505" spans="1:48" s="110" customFormat="1" ht="72.75" customHeight="1" x14ac:dyDescent="0.3">
      <c r="A505" s="279" t="s">
        <v>373</v>
      </c>
      <c r="B505" s="111"/>
      <c r="C505" s="111"/>
      <c r="D505" s="137"/>
      <c r="E505" s="266" t="s">
        <v>881</v>
      </c>
      <c r="M505" s="761" t="s">
        <v>678</v>
      </c>
      <c r="N505" s="762"/>
      <c r="O505" s="762"/>
      <c r="P505" s="762"/>
      <c r="Q505" s="763"/>
      <c r="R505" s="241"/>
      <c r="S505" s="755" t="str">
        <f>IF(M505="public only",forms!G202,IF(M505="public &amp; private",forms!G203,IF(M505="private only",forms!G204,"")))</f>
        <v/>
      </c>
      <c r="T505" s="756"/>
      <c r="U505" s="756"/>
      <c r="V505" s="756"/>
      <c r="W505" s="756"/>
      <c r="X505" s="756"/>
      <c r="Y505" s="756"/>
      <c r="Z505" s="756"/>
      <c r="AA505" s="756"/>
      <c r="AB505" s="756"/>
      <c r="AC505" s="756"/>
      <c r="AD505" s="756"/>
      <c r="AE505" s="756"/>
      <c r="AF505" s="756"/>
      <c r="AG505" s="756"/>
      <c r="AH505" s="756"/>
      <c r="AI505" s="756"/>
      <c r="AJ505" s="756"/>
      <c r="AK505" s="756"/>
      <c r="AL505" s="756"/>
      <c r="AM505" s="756"/>
      <c r="AN505" s="756"/>
      <c r="AO505" s="756"/>
      <c r="AP505" s="756"/>
      <c r="AQ505" s="756"/>
      <c r="AR505" s="757"/>
      <c r="AS505" s="131"/>
      <c r="AT505" s="111"/>
    </row>
    <row r="506" spans="1:48" s="110" customFormat="1" ht="5.25" customHeight="1" x14ac:dyDescent="0.3">
      <c r="A506" s="279"/>
      <c r="B506" s="111"/>
      <c r="C506" s="111"/>
      <c r="D506" s="137"/>
      <c r="E506" s="266"/>
      <c r="M506" s="249"/>
      <c r="N506" s="249"/>
      <c r="O506" s="249"/>
      <c r="P506" s="249"/>
      <c r="Q506" s="249"/>
      <c r="R506" s="241"/>
      <c r="S506" s="317"/>
      <c r="T506" s="317"/>
      <c r="U506" s="317"/>
      <c r="V506" s="317"/>
      <c r="W506" s="317"/>
      <c r="X506" s="317"/>
      <c r="Y506" s="317"/>
      <c r="Z506" s="317"/>
      <c r="AA506" s="317"/>
      <c r="AB506" s="317"/>
      <c r="AC506" s="317"/>
      <c r="AD506" s="317"/>
      <c r="AE506" s="317"/>
      <c r="AF506" s="317"/>
      <c r="AG506" s="317"/>
      <c r="AH506" s="317"/>
      <c r="AI506" s="317"/>
      <c r="AJ506" s="317"/>
      <c r="AK506" s="317"/>
      <c r="AL506" s="317"/>
      <c r="AM506" s="317"/>
      <c r="AN506" s="317"/>
      <c r="AO506" s="317"/>
      <c r="AP506" s="317"/>
      <c r="AQ506" s="317"/>
      <c r="AR506" s="317"/>
      <c r="AS506" s="131"/>
      <c r="AT506" s="111"/>
      <c r="AU506" s="111"/>
      <c r="AV506" s="111"/>
    </row>
    <row r="507" spans="1:48" s="110" customFormat="1" ht="25.5" customHeight="1" x14ac:dyDescent="0.3">
      <c r="A507" s="279" t="s">
        <v>374</v>
      </c>
      <c r="B507" s="111"/>
      <c r="C507" s="111"/>
      <c r="D507" s="137"/>
      <c r="E507" s="266" t="s">
        <v>880</v>
      </c>
      <c r="M507" s="761" t="s">
        <v>678</v>
      </c>
      <c r="N507" s="762"/>
      <c r="O507" s="762"/>
      <c r="P507" s="762"/>
      <c r="Q507" s="763"/>
      <c r="R507" s="241"/>
      <c r="S507" s="755" t="str">
        <f>IF(M507="select","","Describe location, topography, factors in wild fire potential, brush and vegetation control, special measures taken, etc.")</f>
        <v/>
      </c>
      <c r="T507" s="756"/>
      <c r="U507" s="756"/>
      <c r="V507" s="756"/>
      <c r="W507" s="756"/>
      <c r="X507" s="756"/>
      <c r="Y507" s="756"/>
      <c r="Z507" s="756"/>
      <c r="AA507" s="756"/>
      <c r="AB507" s="756"/>
      <c r="AC507" s="756"/>
      <c r="AD507" s="756"/>
      <c r="AE507" s="756"/>
      <c r="AF507" s="756"/>
      <c r="AG507" s="756"/>
      <c r="AH507" s="756"/>
      <c r="AI507" s="756"/>
      <c r="AJ507" s="756"/>
      <c r="AK507" s="756"/>
      <c r="AL507" s="756"/>
      <c r="AM507" s="756"/>
      <c r="AN507" s="756"/>
      <c r="AO507" s="756"/>
      <c r="AP507" s="756"/>
      <c r="AQ507" s="756"/>
      <c r="AR507" s="757"/>
      <c r="AS507" s="131"/>
      <c r="AT507" s="111"/>
      <c r="AU507" s="111"/>
      <c r="AV507" s="111"/>
    </row>
    <row r="508" spans="1:48" s="110" customFormat="1" ht="4.5" customHeight="1" x14ac:dyDescent="0.3">
      <c r="A508" s="279"/>
      <c r="B508" s="111"/>
      <c r="C508" s="111"/>
      <c r="D508" s="137"/>
      <c r="E508" s="184"/>
      <c r="M508" s="241"/>
      <c r="N508" s="241"/>
      <c r="O508" s="241"/>
      <c r="P508" s="241"/>
      <c r="Q508" s="241"/>
      <c r="R508" s="241"/>
      <c r="S508" s="280"/>
      <c r="T508" s="280"/>
      <c r="U508" s="280"/>
      <c r="V508" s="280"/>
      <c r="W508" s="280"/>
      <c r="X508" s="280"/>
      <c r="Y508" s="280"/>
      <c r="Z508" s="280"/>
      <c r="AA508" s="280"/>
      <c r="AB508" s="280"/>
      <c r="AC508" s="280"/>
      <c r="AD508" s="241"/>
      <c r="AE508" s="241"/>
      <c r="AF508" s="241"/>
      <c r="AG508" s="241"/>
      <c r="AH508" s="241"/>
      <c r="AI508" s="241"/>
      <c r="AJ508" s="241"/>
      <c r="AK508" s="241"/>
      <c r="AL508" s="241"/>
      <c r="AM508" s="241"/>
      <c r="AN508" s="241"/>
      <c r="AO508" s="241"/>
      <c r="AP508" s="241"/>
      <c r="AQ508" s="241"/>
      <c r="AR508" s="241"/>
      <c r="AS508" s="131"/>
      <c r="AT508" s="111"/>
      <c r="AU508" s="111"/>
      <c r="AV508" s="111"/>
    </row>
    <row r="509" spans="1:48" s="110" customFormat="1" ht="14.15" x14ac:dyDescent="0.3">
      <c r="A509" s="279" t="s">
        <v>375</v>
      </c>
      <c r="B509" s="111"/>
      <c r="C509" s="111"/>
      <c r="D509" s="137"/>
      <c r="E509" s="266" t="s">
        <v>879</v>
      </c>
      <c r="M509" s="761" t="s">
        <v>678</v>
      </c>
      <c r="N509" s="762"/>
      <c r="O509" s="762"/>
      <c r="P509" s="762"/>
      <c r="Q509" s="763"/>
      <c r="R509" s="241"/>
      <c r="S509" s="755" t="str">
        <f>IF(M509="select","",IF(M509="none","","List building(s), system details, presence of service contract, last service."))</f>
        <v/>
      </c>
      <c r="T509" s="756"/>
      <c r="U509" s="756"/>
      <c r="V509" s="756"/>
      <c r="W509" s="756"/>
      <c r="X509" s="756"/>
      <c r="Y509" s="756"/>
      <c r="Z509" s="756"/>
      <c r="AA509" s="756"/>
      <c r="AB509" s="756"/>
      <c r="AC509" s="756"/>
      <c r="AD509" s="756"/>
      <c r="AE509" s="756"/>
      <c r="AF509" s="756"/>
      <c r="AG509" s="756"/>
      <c r="AH509" s="756"/>
      <c r="AI509" s="756"/>
      <c r="AJ509" s="756"/>
      <c r="AK509" s="756"/>
      <c r="AL509" s="756"/>
      <c r="AM509" s="756"/>
      <c r="AN509" s="756"/>
      <c r="AO509" s="756"/>
      <c r="AP509" s="756"/>
      <c r="AQ509" s="756"/>
      <c r="AR509" s="757"/>
      <c r="AS509" s="131"/>
      <c r="AT509" s="111"/>
      <c r="AU509" s="111"/>
      <c r="AV509" s="111"/>
    </row>
    <row r="510" spans="1:48" s="110" customFormat="1" ht="4.5" customHeight="1" x14ac:dyDescent="0.3">
      <c r="A510" s="279"/>
      <c r="B510" s="111"/>
      <c r="C510" s="111"/>
      <c r="D510" s="137"/>
      <c r="E510" s="184"/>
      <c r="M510" s="241"/>
      <c r="N510" s="241"/>
      <c r="O510" s="241"/>
      <c r="P510" s="241"/>
      <c r="Q510" s="241"/>
      <c r="R510" s="241"/>
      <c r="S510" s="241"/>
      <c r="T510" s="241"/>
      <c r="U510" s="241"/>
      <c r="V510" s="241"/>
      <c r="W510" s="241"/>
      <c r="X510" s="241"/>
      <c r="Y510" s="241"/>
      <c r="Z510" s="241"/>
      <c r="AA510" s="241"/>
      <c r="AB510" s="241"/>
      <c r="AC510" s="241"/>
      <c r="AD510" s="241"/>
      <c r="AE510" s="241"/>
      <c r="AF510" s="241"/>
      <c r="AG510" s="241"/>
      <c r="AH510" s="241"/>
      <c r="AI510" s="241"/>
      <c r="AJ510" s="241"/>
      <c r="AK510" s="241"/>
      <c r="AL510" s="241"/>
      <c r="AM510" s="241"/>
      <c r="AN510" s="241"/>
      <c r="AO510" s="241"/>
      <c r="AP510" s="241"/>
      <c r="AQ510" s="241"/>
      <c r="AR510" s="241"/>
      <c r="AS510" s="131"/>
      <c r="AT510" s="111"/>
      <c r="AU510" s="111"/>
      <c r="AV510" s="111"/>
    </row>
    <row r="511" spans="1:48" s="110" customFormat="1" ht="13.5" customHeight="1" x14ac:dyDescent="0.3">
      <c r="A511" s="279" t="s">
        <v>376</v>
      </c>
      <c r="B511" s="111"/>
      <c r="C511" s="111"/>
      <c r="D511" s="137"/>
      <c r="E511" s="266" t="str">
        <f>IF(calculations!AB253,"","SUPPRESSION SYSTEM")</f>
        <v>SUPPRESSION SYSTEM</v>
      </c>
      <c r="M511" s="761" t="s">
        <v>678</v>
      </c>
      <c r="N511" s="762"/>
      <c r="O511" s="762"/>
      <c r="P511" s="762"/>
      <c r="Q511" s="763"/>
      <c r="R511" s="241"/>
      <c r="S511" s="755" t="str">
        <f>IF(M511="yes","List covered equipment, system details, class of hand-held extinguisher.","")</f>
        <v/>
      </c>
      <c r="T511" s="756"/>
      <c r="U511" s="756"/>
      <c r="V511" s="756"/>
      <c r="W511" s="756"/>
      <c r="X511" s="756"/>
      <c r="Y511" s="756"/>
      <c r="Z511" s="756"/>
      <c r="AA511" s="756"/>
      <c r="AB511" s="756"/>
      <c r="AC511" s="756"/>
      <c r="AD511" s="756"/>
      <c r="AE511" s="756"/>
      <c r="AF511" s="756"/>
      <c r="AG511" s="756"/>
      <c r="AH511" s="756"/>
      <c r="AI511" s="756"/>
      <c r="AJ511" s="756"/>
      <c r="AK511" s="756"/>
      <c r="AL511" s="756"/>
      <c r="AM511" s="756"/>
      <c r="AN511" s="756"/>
      <c r="AO511" s="756"/>
      <c r="AP511" s="756"/>
      <c r="AQ511" s="756"/>
      <c r="AR511" s="757"/>
      <c r="AS511" s="131"/>
    </row>
    <row r="512" spans="1:48" s="110" customFormat="1" ht="4.5" customHeight="1" x14ac:dyDescent="0.3">
      <c r="A512" s="279"/>
      <c r="B512" s="111"/>
      <c r="C512" s="111"/>
      <c r="D512" s="137"/>
      <c r="E512" s="266"/>
      <c r="M512" s="249"/>
      <c r="N512" s="249"/>
      <c r="O512" s="249"/>
      <c r="P512" s="249"/>
      <c r="Q512" s="249"/>
      <c r="R512" s="241"/>
      <c r="S512" s="315"/>
      <c r="T512" s="315"/>
      <c r="U512" s="315"/>
      <c r="V512" s="315"/>
      <c r="W512" s="315"/>
      <c r="X512" s="315"/>
      <c r="Y512" s="315"/>
      <c r="Z512" s="315"/>
      <c r="AA512" s="315"/>
      <c r="AB512" s="315"/>
      <c r="AC512" s="315"/>
      <c r="AD512" s="315"/>
      <c r="AE512" s="315"/>
      <c r="AF512" s="315"/>
      <c r="AG512" s="315"/>
      <c r="AH512" s="315"/>
      <c r="AI512" s="315"/>
      <c r="AJ512" s="315"/>
      <c r="AK512" s="315"/>
      <c r="AL512" s="315"/>
      <c r="AM512" s="315"/>
      <c r="AN512" s="315"/>
      <c r="AO512" s="315"/>
      <c r="AP512" s="315"/>
      <c r="AQ512" s="315"/>
      <c r="AR512" s="315"/>
      <c r="AS512" s="131"/>
    </row>
    <row r="513" spans="1:51" s="110" customFormat="1" ht="12.75" customHeight="1" x14ac:dyDescent="0.3">
      <c r="A513" s="297" t="s">
        <v>1631</v>
      </c>
      <c r="B513" s="111"/>
      <c r="C513" s="111"/>
      <c r="D513" s="137"/>
      <c r="E513" s="266"/>
      <c r="M513" s="113" t="str">
        <f>IF(M511="yes","last serviced","")</f>
        <v/>
      </c>
      <c r="N513" s="169"/>
      <c r="O513" s="169"/>
      <c r="P513" s="169"/>
      <c r="Q513" s="169"/>
      <c r="R513" s="241"/>
      <c r="S513" s="860"/>
      <c r="T513" s="861"/>
      <c r="U513" s="861"/>
      <c r="V513" s="862"/>
      <c r="W513" s="129"/>
      <c r="X513" s="289">
        <f>IF(M511&lt;&gt;"yes",0,IF(#REF!-S513&gt;365,1,0))</f>
        <v>0</v>
      </c>
      <c r="Y513" s="113" t="str">
        <f>IF(M511="yes","frequency","")</f>
        <v/>
      </c>
      <c r="AC513" s="791" t="s">
        <v>678</v>
      </c>
      <c r="AD513" s="792"/>
      <c r="AE513" s="792"/>
      <c r="AF513" s="792"/>
      <c r="AG513" s="792"/>
      <c r="AH513" s="793"/>
      <c r="AI513" s="335"/>
      <c r="AJ513" s="244"/>
      <c r="AK513" s="244"/>
      <c r="AL513" s="244"/>
      <c r="AM513" s="244"/>
      <c r="AN513" s="244"/>
      <c r="AO513" s="244"/>
      <c r="AP513" s="244"/>
      <c r="AQ513" s="244"/>
      <c r="AR513" s="244"/>
      <c r="AS513" s="131"/>
    </row>
    <row r="514" spans="1:51" s="110" customFormat="1" ht="4.5" customHeight="1" x14ac:dyDescent="0.3">
      <c r="A514" s="279"/>
      <c r="B514" s="111"/>
      <c r="C514" s="111"/>
      <c r="E514" s="191"/>
      <c r="M514" s="241"/>
      <c r="N514" s="241"/>
      <c r="O514" s="241"/>
      <c r="P514" s="241"/>
      <c r="Q514" s="241"/>
      <c r="R514" s="241"/>
      <c r="S514" s="243"/>
      <c r="T514" s="241"/>
      <c r="U514" s="241"/>
      <c r="V514" s="241"/>
      <c r="W514" s="241"/>
      <c r="X514" s="243"/>
      <c r="Y514" s="243"/>
      <c r="Z514" s="243"/>
      <c r="AA514" s="243"/>
      <c r="AB514" s="241"/>
      <c r="AC514" s="241"/>
      <c r="AD514" s="241"/>
      <c r="AE514" s="241"/>
      <c r="AF514" s="241"/>
      <c r="AG514" s="241"/>
      <c r="AH514" s="241"/>
      <c r="AI514" s="241"/>
      <c r="AJ514" s="241"/>
      <c r="AK514" s="241"/>
      <c r="AL514" s="241"/>
      <c r="AM514" s="241"/>
      <c r="AN514" s="241"/>
      <c r="AO514" s="241"/>
      <c r="AP514" s="241"/>
      <c r="AQ514" s="241"/>
      <c r="AR514" s="241"/>
      <c r="AS514" s="131"/>
      <c r="AT514" s="111"/>
      <c r="AU514" s="111"/>
      <c r="AV514" s="111"/>
    </row>
    <row r="515" spans="1:51" s="110" customFormat="1" ht="15" customHeight="1" x14ac:dyDescent="0.3">
      <c r="A515" s="279" t="s">
        <v>1373</v>
      </c>
      <c r="B515" s="111"/>
      <c r="C515" s="111"/>
      <c r="D515" s="137"/>
      <c r="E515" s="266" t="str">
        <f>IF(calculations!AB253,"","HOOD / VENT CLEANING")</f>
        <v>HOOD / VENT CLEANING</v>
      </c>
      <c r="M515" s="761" t="s">
        <v>678</v>
      </c>
      <c r="N515" s="762"/>
      <c r="O515" s="762"/>
      <c r="P515" s="762"/>
      <c r="Q515" s="763"/>
      <c r="R515" s="634"/>
      <c r="S515" s="146" t="str">
        <f>IF(M515="select","",IF(LEFT(M515,4)="no h","","last cleaned"))</f>
        <v/>
      </c>
      <c r="T515" s="335"/>
      <c r="U515" s="335"/>
      <c r="V515" s="335"/>
      <c r="W515" s="335"/>
      <c r="X515" s="857"/>
      <c r="Y515" s="858"/>
      <c r="Z515" s="858"/>
      <c r="AA515" s="859"/>
      <c r="AB515" s="289">
        <f>IF(M515="select",0,IF(LEFT(M515,4)="no h",0,IF(#REF!-X515&gt;365,1,0)))</f>
        <v>0</v>
      </c>
      <c r="AC515" s="755" t="str">
        <f>IF(M515="select","",IF(LEFT(M515,4)="no h","",IF(M515="no schedule","Explain.","Note by whom and if contract or will-call.")))</f>
        <v/>
      </c>
      <c r="AD515" s="756"/>
      <c r="AE515" s="756"/>
      <c r="AF515" s="756"/>
      <c r="AG515" s="756"/>
      <c r="AH515" s="756"/>
      <c r="AI515" s="756"/>
      <c r="AJ515" s="756"/>
      <c r="AK515" s="756"/>
      <c r="AL515" s="756"/>
      <c r="AM515" s="756"/>
      <c r="AN515" s="756"/>
      <c r="AO515" s="756"/>
      <c r="AP515" s="756"/>
      <c r="AQ515" s="756"/>
      <c r="AR515" s="757"/>
      <c r="AS515" s="244"/>
      <c r="AT515" s="244"/>
      <c r="AU515" s="244"/>
    </row>
    <row r="516" spans="1:51" s="110" customFormat="1" ht="4.5" customHeight="1" x14ac:dyDescent="0.35">
      <c r="A516" s="279"/>
      <c r="B516" s="111"/>
      <c r="C516" s="111"/>
      <c r="D516" s="122"/>
      <c r="E516" s="184"/>
      <c r="M516" s="241"/>
      <c r="N516" s="241"/>
      <c r="O516" s="241"/>
      <c r="P516" s="241"/>
      <c r="Q516" s="241"/>
      <c r="R516" s="241"/>
      <c r="S516" s="241"/>
      <c r="T516" s="241"/>
      <c r="U516" s="241"/>
      <c r="V516" s="241"/>
      <c r="W516" s="241"/>
      <c r="X516" s="241"/>
      <c r="Y516" s="241"/>
      <c r="Z516" s="241"/>
      <c r="AA516" s="241"/>
      <c r="AB516" s="241"/>
      <c r="AC516" s="241"/>
      <c r="AD516" s="241"/>
      <c r="AE516" s="241"/>
      <c r="AF516" s="241"/>
      <c r="AG516" s="241"/>
      <c r="AH516" s="241"/>
      <c r="AI516" s="241"/>
      <c r="AJ516" s="241"/>
      <c r="AK516" s="241"/>
      <c r="AL516" s="241"/>
      <c r="AM516" s="241"/>
      <c r="AN516" s="241"/>
      <c r="AO516" s="241"/>
      <c r="AP516" s="241"/>
      <c r="AQ516" s="241"/>
      <c r="AR516" s="241"/>
      <c r="AS516" s="131"/>
      <c r="AT516" s="111"/>
      <c r="AU516" s="111"/>
      <c r="AV516" s="111"/>
    </row>
    <row r="517" spans="1:51" s="110" customFormat="1" x14ac:dyDescent="0.3">
      <c r="A517" s="279" t="s">
        <v>1374</v>
      </c>
      <c r="B517" s="111"/>
      <c r="C517" s="111"/>
      <c r="E517" s="266" t="s">
        <v>878</v>
      </c>
      <c r="M517" s="761" t="s">
        <v>678</v>
      </c>
      <c r="N517" s="762"/>
      <c r="O517" s="762"/>
      <c r="P517" s="762"/>
      <c r="Q517" s="762"/>
      <c r="R517" s="762"/>
      <c r="S517" s="762"/>
      <c r="T517" s="762"/>
      <c r="U517" s="763"/>
      <c r="V517" s="324">
        <f>IF(LEFT(M517,2)="no",1,0)</f>
        <v>0</v>
      </c>
      <c r="W517" s="755" t="str">
        <f>IF(M517="select","","Briefly explain.")</f>
        <v/>
      </c>
      <c r="X517" s="756"/>
      <c r="Y517" s="756"/>
      <c r="Z517" s="756"/>
      <c r="AA517" s="756"/>
      <c r="AB517" s="756"/>
      <c r="AC517" s="756"/>
      <c r="AD517" s="756"/>
      <c r="AE517" s="756"/>
      <c r="AF517" s="756"/>
      <c r="AG517" s="756"/>
      <c r="AH517" s="756"/>
      <c r="AI517" s="756"/>
      <c r="AJ517" s="756"/>
      <c r="AK517" s="756"/>
      <c r="AL517" s="756"/>
      <c r="AM517" s="756"/>
      <c r="AN517" s="756"/>
      <c r="AO517" s="756"/>
      <c r="AP517" s="756"/>
      <c r="AQ517" s="756"/>
      <c r="AR517" s="757"/>
      <c r="AS517" s="334"/>
      <c r="AT517" s="132"/>
      <c r="AU517" s="334"/>
      <c r="AV517" s="334"/>
      <c r="AW517" s="334"/>
      <c r="AX517" s="334"/>
      <c r="AY517" s="334"/>
    </row>
    <row r="518" spans="1:51" s="110" customFormat="1" ht="4.5" customHeight="1" x14ac:dyDescent="0.3">
      <c r="A518" s="136"/>
      <c r="B518" s="111"/>
      <c r="C518" s="111"/>
      <c r="E518" s="121"/>
      <c r="M518" s="241"/>
      <c r="N518" s="241"/>
      <c r="O518" s="241"/>
      <c r="P518" s="241"/>
      <c r="Q518" s="241"/>
      <c r="R518" s="241"/>
      <c r="S518" s="241"/>
      <c r="T518" s="241"/>
      <c r="U518" s="241"/>
      <c r="V518" s="241"/>
      <c r="W518" s="241"/>
      <c r="X518" s="241"/>
      <c r="Y518" s="241"/>
      <c r="Z518" s="241"/>
      <c r="AA518" s="241"/>
      <c r="AB518" s="241"/>
      <c r="AC518" s="241"/>
      <c r="AD518" s="241"/>
      <c r="AE518" s="241"/>
      <c r="AF518" s="241"/>
      <c r="AG518" s="241"/>
      <c r="AH518" s="241"/>
      <c r="AI518" s="241"/>
      <c r="AJ518" s="241"/>
      <c r="AK518" s="241"/>
      <c r="AL518" s="241"/>
      <c r="AM518" s="241"/>
      <c r="AN518" s="241"/>
      <c r="AO518" s="241"/>
      <c r="AP518" s="241"/>
      <c r="AQ518" s="241"/>
      <c r="AR518" s="241"/>
      <c r="AS518" s="131"/>
      <c r="AT518" s="111"/>
      <c r="AU518" s="111"/>
      <c r="AV518" s="111"/>
    </row>
    <row r="519" spans="1:51" s="110" customFormat="1" ht="12.75" customHeight="1" x14ac:dyDescent="0.3">
      <c r="A519" s="136"/>
      <c r="B519" s="111"/>
      <c r="C519" s="111"/>
      <c r="D519" s="111"/>
      <c r="E519" s="121"/>
      <c r="H519" s="116" t="s">
        <v>700</v>
      </c>
      <c r="J519" s="168"/>
      <c r="K519" s="168"/>
      <c r="L519" s="203"/>
      <c r="M519" s="764"/>
      <c r="N519" s="765"/>
      <c r="O519" s="765"/>
      <c r="P519" s="765"/>
      <c r="Q519" s="765"/>
      <c r="R519" s="765"/>
      <c r="S519" s="765"/>
      <c r="T519" s="765"/>
      <c r="U519" s="765"/>
      <c r="V519" s="765"/>
      <c r="W519" s="765"/>
      <c r="X519" s="765"/>
      <c r="Y519" s="765"/>
      <c r="Z519" s="765"/>
      <c r="AA519" s="765"/>
      <c r="AB519" s="765"/>
      <c r="AC519" s="765"/>
      <c r="AD519" s="765"/>
      <c r="AE519" s="765"/>
      <c r="AF519" s="765"/>
      <c r="AG519" s="765"/>
      <c r="AH519" s="765"/>
      <c r="AI519" s="765"/>
      <c r="AJ519" s="765"/>
      <c r="AK519" s="765"/>
      <c r="AL519" s="765"/>
      <c r="AM519" s="765"/>
      <c r="AN519" s="765"/>
      <c r="AO519" s="765"/>
      <c r="AP519" s="765"/>
      <c r="AQ519" s="765"/>
      <c r="AR519" s="766"/>
      <c r="AS519" s="131"/>
      <c r="AT519" s="111"/>
      <c r="AU519" s="111"/>
      <c r="AV519" s="111"/>
    </row>
    <row r="520" spans="1:51" s="110" customFormat="1" ht="4.5" customHeight="1" x14ac:dyDescent="0.3">
      <c r="A520" s="136"/>
      <c r="B520" s="111"/>
      <c r="C520" s="111"/>
      <c r="D520" s="111"/>
      <c r="E520" s="121"/>
      <c r="M520" s="241"/>
      <c r="N520" s="241"/>
      <c r="O520" s="241"/>
      <c r="P520" s="241"/>
      <c r="Q520" s="241"/>
      <c r="R520" s="241"/>
      <c r="S520" s="241"/>
      <c r="T520" s="241"/>
      <c r="U520" s="241"/>
      <c r="V520" s="241"/>
      <c r="W520" s="241"/>
      <c r="X520" s="241"/>
      <c r="Y520" s="241"/>
      <c r="Z520" s="241"/>
      <c r="AA520" s="241"/>
      <c r="AB520" s="241"/>
      <c r="AC520" s="241"/>
      <c r="AD520" s="241"/>
      <c r="AE520" s="241"/>
      <c r="AF520" s="241"/>
      <c r="AG520" s="241"/>
      <c r="AH520" s="241"/>
      <c r="AI520" s="241"/>
      <c r="AJ520" s="241"/>
      <c r="AK520" s="241"/>
      <c r="AL520" s="241"/>
      <c r="AM520" s="241"/>
      <c r="AN520" s="241"/>
      <c r="AO520" s="241"/>
      <c r="AP520" s="241"/>
      <c r="AQ520" s="241"/>
      <c r="AR520" s="241"/>
      <c r="AS520" s="131"/>
      <c r="AT520" s="111"/>
      <c r="AU520" s="111"/>
      <c r="AV520" s="111"/>
    </row>
    <row r="521" spans="1:51" s="110" customFormat="1" ht="61.5" customHeight="1" x14ac:dyDescent="0.3">
      <c r="A521" s="135"/>
      <c r="B521" s="111"/>
      <c r="C521" s="133"/>
      <c r="D521" s="133"/>
      <c r="E521" s="134"/>
      <c r="G521" s="111"/>
      <c r="H521" s="296" t="str">
        <f>IF(Rec!C216=1,"REC",IF(Rec!C216&gt;1,"RECS",""))</f>
        <v/>
      </c>
      <c r="I521" s="133"/>
      <c r="J521" s="133"/>
      <c r="K521" s="111"/>
      <c r="L521" s="132"/>
      <c r="M521" s="764" t="str">
        <f>IF(Rec!C216&gt;0,Rec!E216,"")</f>
        <v/>
      </c>
      <c r="N521" s="765"/>
      <c r="O521" s="765"/>
      <c r="P521" s="765"/>
      <c r="Q521" s="765"/>
      <c r="R521" s="765"/>
      <c r="S521" s="765"/>
      <c r="T521" s="765"/>
      <c r="U521" s="765"/>
      <c r="V521" s="765"/>
      <c r="W521" s="765"/>
      <c r="X521" s="765"/>
      <c r="Y521" s="765"/>
      <c r="Z521" s="765"/>
      <c r="AA521" s="765"/>
      <c r="AB521" s="765"/>
      <c r="AC521" s="765"/>
      <c r="AD521" s="765"/>
      <c r="AE521" s="765"/>
      <c r="AF521" s="765"/>
      <c r="AG521" s="765"/>
      <c r="AH521" s="765"/>
      <c r="AI521" s="765"/>
      <c r="AJ521" s="765"/>
      <c r="AK521" s="765"/>
      <c r="AL521" s="765"/>
      <c r="AM521" s="765"/>
      <c r="AN521" s="765"/>
      <c r="AO521" s="765"/>
      <c r="AP521" s="765"/>
      <c r="AQ521" s="765"/>
      <c r="AR521" s="766"/>
      <c r="AS521" s="131"/>
      <c r="AT521" s="111"/>
      <c r="AU521" s="111"/>
      <c r="AV521" s="111"/>
    </row>
    <row r="522" spans="1:51" s="110" customFormat="1" x14ac:dyDescent="0.3">
      <c r="A522" s="113"/>
      <c r="E522" s="115"/>
      <c r="AT522" s="111"/>
    </row>
    <row r="523" spans="1:51" ht="25.3" x14ac:dyDescent="0.3">
      <c r="A523" s="116" t="str">
        <f>IF(calculations!B3=3,"7","")</f>
        <v/>
      </c>
      <c r="B523" s="787" t="str">
        <f>IF(calculations!B3=3,"    ABUSE PREVENTION","       if the camp is part of an association STOP HERE")</f>
        <v xml:space="preserve">       if the camp is part of an association STOP HERE</v>
      </c>
      <c r="C523" s="787"/>
      <c r="D523" s="787"/>
      <c r="E523" s="787"/>
      <c r="F523" s="787"/>
      <c r="G523" s="787"/>
      <c r="H523" s="787"/>
      <c r="I523" s="787"/>
      <c r="J523" s="787"/>
      <c r="K523" s="787"/>
      <c r="L523" s="787"/>
      <c r="M523" s="787"/>
      <c r="N523" s="787"/>
      <c r="O523" s="787"/>
      <c r="P523" s="787"/>
      <c r="Q523" s="787"/>
      <c r="R523" s="787"/>
      <c r="S523" s="787"/>
      <c r="T523" s="787"/>
      <c r="U523" s="787"/>
      <c r="V523" s="787"/>
      <c r="W523" s="787"/>
      <c r="X523" s="787"/>
      <c r="Y523" s="787"/>
      <c r="Z523" s="787"/>
      <c r="AA523" s="787"/>
      <c r="AB523" s="787"/>
      <c r="AC523" s="787"/>
      <c r="AD523" s="787"/>
      <c r="AE523" s="787"/>
      <c r="AF523" s="787"/>
      <c r="AG523" s="787"/>
      <c r="AH523" s="787"/>
      <c r="AI523" s="787"/>
      <c r="AJ523" s="787"/>
      <c r="AK523" s="787"/>
      <c r="AL523" s="787"/>
      <c r="AM523" s="787"/>
      <c r="AN523" s="787"/>
      <c r="AO523" s="787"/>
      <c r="AP523" s="787"/>
      <c r="AQ523" s="787"/>
      <c r="AR523" s="787"/>
      <c r="AS523" s="110"/>
    </row>
    <row r="524" spans="1:51" x14ac:dyDescent="0.3">
      <c r="A524" s="116"/>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3"/>
      <c r="AC524" s="691" t="str">
        <f>IF(calculations!B3=3,"GO TO TOP","")</f>
        <v/>
      </c>
      <c r="AD524" s="692"/>
      <c r="AE524" s="692"/>
      <c r="AF524" s="692"/>
      <c r="AG524" s="692"/>
      <c r="AH524" s="693"/>
      <c r="AI524" s="110"/>
      <c r="AJ524" s="659" t="str">
        <f>IF(calculations!B3=3,"UP ONE SECTION","")</f>
        <v/>
      </c>
      <c r="AK524" s="660"/>
      <c r="AL524" s="660"/>
      <c r="AM524" s="660"/>
      <c r="AN524" s="660"/>
      <c r="AO524" s="660"/>
      <c r="AP524" s="660"/>
      <c r="AQ524" s="660"/>
      <c r="AR524" s="661"/>
    </row>
    <row r="525" spans="1:51" x14ac:dyDescent="0.3">
      <c r="A525" s="116"/>
      <c r="B525" s="110"/>
      <c r="C525" s="113"/>
      <c r="D525" s="113"/>
      <c r="E525" s="113"/>
      <c r="F525" s="160"/>
      <c r="G525" s="113"/>
      <c r="H525" s="113"/>
      <c r="I525" s="113"/>
      <c r="J525" s="113"/>
      <c r="K525" s="113"/>
      <c r="L525" s="113"/>
      <c r="M525" s="113"/>
      <c r="N525" s="113"/>
      <c r="O525" s="113"/>
      <c r="P525" s="113"/>
      <c r="Q525" s="113"/>
      <c r="R525" s="110"/>
      <c r="S525" s="110"/>
      <c r="T525" s="110"/>
      <c r="U525" s="110"/>
      <c r="V525" s="110"/>
      <c r="W525" s="110"/>
      <c r="X525" s="110"/>
      <c r="Y525" s="113"/>
      <c r="Z525" s="113"/>
      <c r="AA525" s="113"/>
      <c r="AJ525" s="691" t="str">
        <f>IF(calculations!B3=3,"DOWN ONE SECTION","")</f>
        <v/>
      </c>
      <c r="AK525" s="692"/>
      <c r="AL525" s="692"/>
      <c r="AM525" s="692"/>
      <c r="AN525" s="692"/>
      <c r="AO525" s="692"/>
      <c r="AP525" s="692"/>
      <c r="AQ525" s="692"/>
      <c r="AR525" s="693"/>
      <c r="AS525" s="125"/>
    </row>
    <row r="526" spans="1:51" x14ac:dyDescent="0.3">
      <c r="A526" s="116"/>
      <c r="B526" s="110"/>
      <c r="C526" s="110"/>
      <c r="D526" s="110"/>
      <c r="E526" s="115"/>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25"/>
    </row>
    <row r="527" spans="1:51" ht="14.15" x14ac:dyDescent="0.35">
      <c r="A527" s="286" t="s">
        <v>1384</v>
      </c>
      <c r="B527" s="110"/>
      <c r="C527" s="110"/>
      <c r="D527" s="288" t="str">
        <f>IF(calculations!B3=3,"APPLICATIONS","")</f>
        <v/>
      </c>
      <c r="E527" s="115"/>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25"/>
    </row>
    <row r="528" spans="1:51" ht="4.5" customHeight="1" x14ac:dyDescent="0.3">
      <c r="A528" s="116"/>
      <c r="B528" s="110"/>
      <c r="C528" s="110"/>
      <c r="D528" s="110"/>
      <c r="E528" s="115"/>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25"/>
    </row>
    <row r="529" spans="1:47" ht="26.25" customHeight="1" x14ac:dyDescent="0.3">
      <c r="A529" s="116" t="s">
        <v>1383</v>
      </c>
      <c r="B529" s="110"/>
      <c r="C529" s="1"/>
      <c r="D529" s="31"/>
      <c r="E529" s="32"/>
      <c r="F529" s="33"/>
      <c r="G529" s="31"/>
      <c r="H529" s="31"/>
      <c r="I529" s="31"/>
      <c r="J529" s="31"/>
      <c r="K529" s="241"/>
      <c r="L529" s="775" t="str">
        <f>IF(calculations!B3=3,"1) PLATINUM MEDAL expanded to include special event volunteers. 
2) All applications have a clear and obvious statement regarding predator identification policies.","")</f>
        <v/>
      </c>
      <c r="M529" s="775"/>
      <c r="N529" s="775"/>
      <c r="O529" s="775"/>
      <c r="P529" s="775"/>
      <c r="Q529" s="775"/>
      <c r="R529" s="775"/>
      <c r="S529" s="775"/>
      <c r="T529" s="775"/>
      <c r="U529" s="775"/>
      <c r="V529" s="775"/>
      <c r="W529" s="775"/>
      <c r="X529" s="775"/>
      <c r="Y529" s="775"/>
      <c r="Z529" s="775"/>
      <c r="AA529" s="775"/>
      <c r="AB529" s="775"/>
      <c r="AC529" s="775"/>
      <c r="AD529" s="775"/>
      <c r="AE529" s="775"/>
      <c r="AF529" s="775"/>
      <c r="AG529" s="775"/>
      <c r="AH529" s="775"/>
      <c r="AI529" s="775"/>
      <c r="AJ529" s="775"/>
      <c r="AK529" s="775"/>
      <c r="AL529" s="775"/>
      <c r="AM529" s="775"/>
      <c r="AN529" s="775"/>
      <c r="AO529" s="775"/>
      <c r="AP529" s="775"/>
      <c r="AQ529" s="775"/>
      <c r="AR529" s="775"/>
      <c r="AS529" s="125"/>
    </row>
    <row r="530" spans="1:47" ht="4.5" customHeight="1" x14ac:dyDescent="0.3">
      <c r="A530" s="116"/>
      <c r="B530" s="110"/>
      <c r="C530" s="1"/>
      <c r="D530" s="31"/>
      <c r="E530" s="34"/>
      <c r="F530" s="31"/>
      <c r="G530" s="31"/>
      <c r="H530" s="31"/>
      <c r="I530" s="31"/>
      <c r="J530" s="31"/>
      <c r="K530" s="241"/>
      <c r="L530" s="241"/>
      <c r="M530" s="241"/>
      <c r="N530" s="241"/>
      <c r="O530" s="241"/>
      <c r="P530" s="241"/>
      <c r="Q530" s="241"/>
      <c r="R530" s="241"/>
      <c r="S530" s="241"/>
      <c r="T530" s="241"/>
      <c r="U530" s="241"/>
      <c r="V530" s="241"/>
      <c r="W530" s="241"/>
      <c r="X530" s="241"/>
      <c r="Y530" s="241"/>
      <c r="Z530" s="241"/>
      <c r="AA530" s="241"/>
      <c r="AB530" s="241"/>
      <c r="AC530" s="241"/>
      <c r="AD530" s="241"/>
      <c r="AE530" s="241"/>
      <c r="AF530" s="241"/>
      <c r="AG530" s="241"/>
      <c r="AH530" s="241"/>
      <c r="AI530" s="241"/>
      <c r="AJ530" s="241"/>
      <c r="AK530" s="241"/>
      <c r="AL530" s="241"/>
      <c r="AM530" s="241"/>
      <c r="AN530" s="241"/>
      <c r="AO530" s="241"/>
      <c r="AP530" s="241"/>
      <c r="AQ530" s="241"/>
      <c r="AR530" s="241"/>
      <c r="AS530" s="125"/>
    </row>
    <row r="531" spans="1:47" ht="13.5" customHeight="1" x14ac:dyDescent="0.3">
      <c r="A531" s="116" t="s">
        <v>1382</v>
      </c>
      <c r="B531" s="110"/>
      <c r="C531" s="1"/>
      <c r="D531" s="31"/>
      <c r="E531" s="32"/>
      <c r="F531" s="33"/>
      <c r="G531" s="31"/>
      <c r="H531" s="31"/>
      <c r="I531" s="31"/>
      <c r="J531" s="31"/>
      <c r="K531" s="241"/>
      <c r="L531" s="775" t="str">
        <f>IF(calculations!B3=3,"GOLD MEDAL plus a similar written application is required of program and child-serving volunteers.","")</f>
        <v/>
      </c>
      <c r="M531" s="775"/>
      <c r="N531" s="775"/>
      <c r="O531" s="775"/>
      <c r="P531" s="775"/>
      <c r="Q531" s="775"/>
      <c r="R531" s="775"/>
      <c r="S531" s="775"/>
      <c r="T531" s="775"/>
      <c r="U531" s="775"/>
      <c r="V531" s="775"/>
      <c r="W531" s="775"/>
      <c r="X531" s="775"/>
      <c r="Y531" s="775"/>
      <c r="Z531" s="775"/>
      <c r="AA531" s="775"/>
      <c r="AB531" s="775"/>
      <c r="AC531" s="775"/>
      <c r="AD531" s="775"/>
      <c r="AE531" s="775"/>
      <c r="AF531" s="775"/>
      <c r="AG531" s="775"/>
      <c r="AH531" s="775"/>
      <c r="AI531" s="775"/>
      <c r="AJ531" s="775"/>
      <c r="AK531" s="775"/>
      <c r="AL531" s="775"/>
      <c r="AM531" s="775"/>
      <c r="AN531" s="775"/>
      <c r="AO531" s="775"/>
      <c r="AP531" s="775"/>
      <c r="AQ531" s="775"/>
      <c r="AR531" s="775"/>
      <c r="AS531" s="125"/>
    </row>
    <row r="532" spans="1:47" ht="4.5" customHeight="1" x14ac:dyDescent="0.3">
      <c r="A532" s="116"/>
      <c r="B532" s="110"/>
      <c r="C532" s="1"/>
      <c r="D532" s="31"/>
      <c r="E532" s="32"/>
      <c r="F532" s="33"/>
      <c r="G532" s="31"/>
      <c r="H532" s="31"/>
      <c r="I532" s="31"/>
      <c r="J532" s="31"/>
      <c r="K532" s="241"/>
      <c r="L532" s="259"/>
      <c r="M532" s="259"/>
      <c r="N532" s="259"/>
      <c r="O532" s="259"/>
      <c r="P532" s="259"/>
      <c r="Q532" s="259"/>
      <c r="R532" s="259"/>
      <c r="S532" s="259"/>
      <c r="T532" s="259"/>
      <c r="U532" s="259"/>
      <c r="V532" s="259"/>
      <c r="W532" s="259"/>
      <c r="X532" s="259"/>
      <c r="Y532" s="259"/>
      <c r="Z532" s="259"/>
      <c r="AA532" s="259"/>
      <c r="AB532" s="259"/>
      <c r="AC532" s="259"/>
      <c r="AD532" s="259"/>
      <c r="AE532" s="259"/>
      <c r="AF532" s="259"/>
      <c r="AG532" s="259"/>
      <c r="AH532" s="259"/>
      <c r="AI532" s="259"/>
      <c r="AJ532" s="259"/>
      <c r="AK532" s="259"/>
      <c r="AL532" s="259"/>
      <c r="AM532" s="259"/>
      <c r="AN532" s="259"/>
      <c r="AO532" s="259"/>
      <c r="AP532" s="259"/>
      <c r="AQ532" s="259"/>
      <c r="AR532" s="241"/>
      <c r="AS532" s="125"/>
    </row>
    <row r="533" spans="1:47" ht="27" customHeight="1" x14ac:dyDescent="0.3">
      <c r="A533" s="116" t="s">
        <v>1381</v>
      </c>
      <c r="B533" s="110"/>
      <c r="C533" s="1"/>
      <c r="D533" s="31"/>
      <c r="E533" s="34"/>
      <c r="F533" s="31"/>
      <c r="G533" s="31"/>
      <c r="H533" s="31"/>
      <c r="I533" s="31"/>
      <c r="J533" s="31"/>
      <c r="K533" s="241"/>
      <c r="L533" s="775" t="str">
        <f>IF(calculations!B3=3,"A written, signed application is required for all paid staff positions that includes 1) an abuse prevention code of conduct and 2) a question regarding prior criminal convictions.","")</f>
        <v/>
      </c>
      <c r="M533" s="775"/>
      <c r="N533" s="775"/>
      <c r="O533" s="775"/>
      <c r="P533" s="775"/>
      <c r="Q533" s="775"/>
      <c r="R533" s="775"/>
      <c r="S533" s="775"/>
      <c r="T533" s="775"/>
      <c r="U533" s="775"/>
      <c r="V533" s="775"/>
      <c r="W533" s="775"/>
      <c r="X533" s="775"/>
      <c r="Y533" s="775"/>
      <c r="Z533" s="775"/>
      <c r="AA533" s="775"/>
      <c r="AB533" s="775"/>
      <c r="AC533" s="775"/>
      <c r="AD533" s="775"/>
      <c r="AE533" s="775"/>
      <c r="AF533" s="775"/>
      <c r="AG533" s="775"/>
      <c r="AH533" s="775"/>
      <c r="AI533" s="775"/>
      <c r="AJ533" s="775"/>
      <c r="AK533" s="775"/>
      <c r="AL533" s="775"/>
      <c r="AM533" s="775"/>
      <c r="AN533" s="775"/>
      <c r="AO533" s="775"/>
      <c r="AP533" s="775"/>
      <c r="AQ533" s="775"/>
      <c r="AR533" s="775"/>
      <c r="AS533" s="125"/>
    </row>
    <row r="534" spans="1:47" ht="4.5" customHeight="1" x14ac:dyDescent="0.3">
      <c r="A534" s="116"/>
      <c r="B534" s="110"/>
      <c r="C534" s="1"/>
      <c r="D534" s="31"/>
      <c r="E534" s="34"/>
      <c r="F534" s="31"/>
      <c r="G534" s="31"/>
      <c r="H534" s="31"/>
      <c r="I534" s="31"/>
      <c r="J534" s="31"/>
      <c r="K534" s="241"/>
      <c r="L534" s="241"/>
      <c r="M534" s="241"/>
      <c r="N534" s="241"/>
      <c r="O534" s="241"/>
      <c r="P534" s="241"/>
      <c r="Q534" s="241"/>
      <c r="R534" s="241"/>
      <c r="S534" s="241"/>
      <c r="T534" s="241"/>
      <c r="U534" s="241"/>
      <c r="V534" s="241"/>
      <c r="W534" s="241"/>
      <c r="X534" s="241"/>
      <c r="Y534" s="241"/>
      <c r="Z534" s="241"/>
      <c r="AA534" s="241"/>
      <c r="AB534" s="241"/>
      <c r="AC534" s="241"/>
      <c r="AD534" s="241"/>
      <c r="AE534" s="241"/>
      <c r="AF534" s="241"/>
      <c r="AG534" s="241"/>
      <c r="AH534" s="241"/>
      <c r="AI534" s="241"/>
      <c r="AJ534" s="241"/>
      <c r="AK534" s="241"/>
      <c r="AL534" s="241"/>
      <c r="AM534" s="241"/>
      <c r="AN534" s="241"/>
      <c r="AO534" s="241"/>
      <c r="AP534" s="241"/>
      <c r="AQ534" s="241"/>
      <c r="AR534" s="241"/>
      <c r="AS534" s="125"/>
    </row>
    <row r="535" spans="1:47" x14ac:dyDescent="0.3">
      <c r="A535" s="116" t="s">
        <v>1380</v>
      </c>
      <c r="B535" s="110"/>
      <c r="C535" s="1"/>
      <c r="D535" s="31"/>
      <c r="E535" s="32"/>
      <c r="F535" s="33"/>
      <c r="G535" s="31"/>
      <c r="H535" s="31"/>
      <c r="I535" s="31"/>
      <c r="J535" s="31"/>
      <c r="K535" s="241"/>
      <c r="L535" s="775" t="str">
        <f>IF(calculations!B3=3,"Some form of written, signed application is required for all paid staff positions.","")</f>
        <v/>
      </c>
      <c r="M535" s="775"/>
      <c r="N535" s="775"/>
      <c r="O535" s="775"/>
      <c r="P535" s="775"/>
      <c r="Q535" s="775"/>
      <c r="R535" s="775"/>
      <c r="S535" s="775"/>
      <c r="T535" s="775"/>
      <c r="U535" s="775"/>
      <c r="V535" s="775"/>
      <c r="W535" s="775"/>
      <c r="X535" s="775"/>
      <c r="Y535" s="775"/>
      <c r="Z535" s="775"/>
      <c r="AA535" s="775"/>
      <c r="AB535" s="775"/>
      <c r="AC535" s="775"/>
      <c r="AD535" s="775"/>
      <c r="AE535" s="775"/>
      <c r="AF535" s="775"/>
      <c r="AG535" s="775"/>
      <c r="AH535" s="775"/>
      <c r="AI535" s="775"/>
      <c r="AJ535" s="775"/>
      <c r="AK535" s="775"/>
      <c r="AL535" s="775"/>
      <c r="AM535" s="775"/>
      <c r="AN535" s="775"/>
      <c r="AO535" s="775"/>
      <c r="AP535" s="775"/>
      <c r="AQ535" s="775"/>
      <c r="AR535" s="775"/>
      <c r="AS535" s="125"/>
    </row>
    <row r="536" spans="1:47" ht="4.5" customHeight="1" x14ac:dyDescent="0.3">
      <c r="A536" s="116"/>
      <c r="B536" s="110"/>
      <c r="C536" s="1"/>
      <c r="D536" s="1"/>
      <c r="E536" s="35"/>
      <c r="F536" s="1"/>
      <c r="G536" s="1"/>
      <c r="H536" s="1"/>
      <c r="I536" s="1"/>
      <c r="J536" s="1"/>
      <c r="K536" s="241"/>
      <c r="L536" s="241"/>
      <c r="M536" s="241"/>
      <c r="N536" s="241"/>
      <c r="O536" s="241"/>
      <c r="P536" s="241"/>
      <c r="Q536" s="241"/>
      <c r="R536" s="241"/>
      <c r="S536" s="241"/>
      <c r="T536" s="241"/>
      <c r="U536" s="241"/>
      <c r="V536" s="241"/>
      <c r="W536" s="241"/>
      <c r="X536" s="241"/>
      <c r="Y536" s="241"/>
      <c r="Z536" s="241"/>
      <c r="AA536" s="241"/>
      <c r="AB536" s="241"/>
      <c r="AC536" s="241"/>
      <c r="AD536" s="241"/>
      <c r="AE536" s="241"/>
      <c r="AF536" s="241"/>
      <c r="AG536" s="241"/>
      <c r="AH536" s="241"/>
      <c r="AI536" s="241"/>
      <c r="AJ536" s="241"/>
      <c r="AK536" s="241"/>
      <c r="AL536" s="241"/>
      <c r="AM536" s="241"/>
      <c r="AN536" s="241"/>
      <c r="AO536" s="241"/>
      <c r="AP536" s="241"/>
      <c r="AQ536" s="241"/>
      <c r="AR536" s="241"/>
      <c r="AS536" s="125"/>
    </row>
    <row r="537" spans="1:47" ht="26.25" customHeight="1" x14ac:dyDescent="0.3">
      <c r="A537" s="116" t="s">
        <v>1379</v>
      </c>
      <c r="B537" s="110"/>
      <c r="C537" s="1"/>
      <c r="D537" s="1"/>
      <c r="E537" s="11"/>
      <c r="F537" s="3"/>
      <c r="G537" s="1"/>
      <c r="H537" s="1"/>
      <c r="I537" s="1"/>
      <c r="J537" s="1"/>
      <c r="K537" s="241"/>
      <c r="L537" s="775" t="str">
        <f>IF(calculations!B3=3,"Any use of applications that does not meet at least Yellow Flag criteria above, including any use of resumes without completed signed applications.","")</f>
        <v/>
      </c>
      <c r="M537" s="775"/>
      <c r="N537" s="775"/>
      <c r="O537" s="775"/>
      <c r="P537" s="775"/>
      <c r="Q537" s="775"/>
      <c r="R537" s="775"/>
      <c r="S537" s="775"/>
      <c r="T537" s="775"/>
      <c r="U537" s="775"/>
      <c r="V537" s="775"/>
      <c r="W537" s="775"/>
      <c r="X537" s="775"/>
      <c r="Y537" s="775"/>
      <c r="Z537" s="775"/>
      <c r="AA537" s="775"/>
      <c r="AB537" s="775"/>
      <c r="AC537" s="775"/>
      <c r="AD537" s="775"/>
      <c r="AE537" s="775"/>
      <c r="AF537" s="775"/>
      <c r="AG537" s="775"/>
      <c r="AH537" s="775"/>
      <c r="AI537" s="775"/>
      <c r="AJ537" s="775"/>
      <c r="AK537" s="775"/>
      <c r="AL537" s="775"/>
      <c r="AM537" s="775"/>
      <c r="AN537" s="775"/>
      <c r="AO537" s="775"/>
      <c r="AP537" s="775"/>
      <c r="AQ537" s="775"/>
      <c r="AR537" s="775"/>
      <c r="AS537" s="125"/>
    </row>
    <row r="538" spans="1:47" ht="4.5" customHeight="1" x14ac:dyDescent="0.3">
      <c r="A538" s="116"/>
      <c r="B538" s="110"/>
      <c r="C538" s="110"/>
      <c r="D538" s="110"/>
      <c r="E538" s="115"/>
      <c r="F538" s="110"/>
      <c r="G538" s="110"/>
      <c r="H538" s="110"/>
      <c r="I538" s="110"/>
      <c r="J538" s="241"/>
      <c r="K538" s="241"/>
      <c r="L538" s="241"/>
      <c r="M538" s="241"/>
      <c r="N538" s="241"/>
      <c r="O538" s="241"/>
      <c r="P538" s="241"/>
      <c r="Q538" s="241"/>
      <c r="R538" s="241"/>
      <c r="S538" s="241"/>
      <c r="T538" s="241"/>
      <c r="U538" s="241"/>
      <c r="V538" s="241"/>
      <c r="W538" s="241"/>
      <c r="X538" s="241"/>
      <c r="Y538" s="241"/>
      <c r="Z538" s="241"/>
      <c r="AA538" s="241"/>
      <c r="AB538" s="241"/>
      <c r="AC538" s="241"/>
      <c r="AD538" s="241"/>
      <c r="AE538" s="241"/>
      <c r="AF538" s="241"/>
      <c r="AG538" s="241"/>
      <c r="AH538" s="241"/>
      <c r="AI538" s="241"/>
      <c r="AJ538" s="241"/>
      <c r="AK538" s="241"/>
      <c r="AL538" s="241"/>
      <c r="AM538" s="241"/>
      <c r="AN538" s="241"/>
      <c r="AO538" s="241"/>
      <c r="AP538" s="241"/>
      <c r="AQ538" s="241"/>
      <c r="AR538" s="241"/>
      <c r="AS538" s="125"/>
    </row>
    <row r="539" spans="1:47" x14ac:dyDescent="0.3">
      <c r="A539" s="116"/>
      <c r="B539" s="110"/>
      <c r="C539" s="110"/>
      <c r="D539" s="110"/>
      <c r="E539" s="115"/>
      <c r="F539" s="116" t="str">
        <f>IF(calculations!B3=3,"COMMENTS","")</f>
        <v/>
      </c>
      <c r="G539" s="110"/>
      <c r="H539" s="110"/>
      <c r="I539" s="110"/>
      <c r="J539" s="755" t="str">
        <f>IF(calculations!M178,"describe corrective action proposed to correct any Red Flag or Yellow Flag ranking",IF(calculations!N178,"describe corrective action proposed to correct any Red Flag or Yellow Flag ranking",""))</f>
        <v/>
      </c>
      <c r="K539" s="756"/>
      <c r="L539" s="756"/>
      <c r="M539" s="756"/>
      <c r="N539" s="756"/>
      <c r="O539" s="756"/>
      <c r="P539" s="756"/>
      <c r="Q539" s="756"/>
      <c r="R539" s="756"/>
      <c r="S539" s="756"/>
      <c r="T539" s="756"/>
      <c r="U539" s="756"/>
      <c r="V539" s="756"/>
      <c r="W539" s="756"/>
      <c r="X539" s="756"/>
      <c r="Y539" s="756"/>
      <c r="Z539" s="756"/>
      <c r="AA539" s="756"/>
      <c r="AB539" s="756"/>
      <c r="AC539" s="756"/>
      <c r="AD539" s="756"/>
      <c r="AE539" s="756"/>
      <c r="AF539" s="756"/>
      <c r="AG539" s="756"/>
      <c r="AH539" s="756"/>
      <c r="AI539" s="756"/>
      <c r="AJ539" s="756"/>
      <c r="AK539" s="756"/>
      <c r="AL539" s="756"/>
      <c r="AM539" s="756"/>
      <c r="AN539" s="756"/>
      <c r="AO539" s="756"/>
      <c r="AP539" s="756"/>
      <c r="AQ539" s="756"/>
      <c r="AR539" s="757"/>
      <c r="AS539" s="125"/>
    </row>
    <row r="540" spans="1:47" ht="4.5" customHeight="1" x14ac:dyDescent="0.3">
      <c r="A540" s="116"/>
      <c r="B540" s="110"/>
      <c r="C540" s="110"/>
      <c r="D540" s="110"/>
      <c r="E540" s="115"/>
      <c r="F540" s="116"/>
      <c r="G540" s="110"/>
      <c r="H540" s="110"/>
      <c r="I540" s="110"/>
      <c r="J540" s="315"/>
      <c r="K540" s="315"/>
      <c r="L540" s="315"/>
      <c r="M540" s="315"/>
      <c r="N540" s="315"/>
      <c r="O540" s="315"/>
      <c r="P540" s="315"/>
      <c r="Q540" s="315"/>
      <c r="R540" s="315"/>
      <c r="S540" s="315"/>
      <c r="T540" s="315"/>
      <c r="U540" s="315"/>
      <c r="V540" s="315"/>
      <c r="W540" s="315"/>
      <c r="X540" s="315"/>
      <c r="Y540" s="315"/>
      <c r="Z540" s="315"/>
      <c r="AA540" s="315"/>
      <c r="AB540" s="315"/>
      <c r="AC540" s="315"/>
      <c r="AD540" s="315"/>
      <c r="AE540" s="315"/>
      <c r="AF540" s="315"/>
      <c r="AG540" s="315"/>
      <c r="AH540" s="315"/>
      <c r="AI540" s="315"/>
      <c r="AJ540" s="315"/>
      <c r="AK540" s="315"/>
      <c r="AL540" s="315"/>
      <c r="AM540" s="315"/>
      <c r="AN540" s="315"/>
      <c r="AO540" s="315"/>
      <c r="AP540" s="315"/>
      <c r="AQ540" s="315"/>
      <c r="AR540" s="315"/>
      <c r="AS540" s="125"/>
      <c r="AT540" s="110"/>
      <c r="AU540" s="110"/>
    </row>
    <row r="541" spans="1:47" ht="26.25" customHeight="1" x14ac:dyDescent="0.3">
      <c r="A541" s="116"/>
      <c r="B541" s="110"/>
      <c r="C541" s="110"/>
      <c r="D541" s="110"/>
      <c r="E541" s="115"/>
      <c r="F541" s="114" t="str">
        <f>IF(calculations!G178=4,"OFE",IF(calculations!G178=5,"REC",IF(J541&gt;"","RECS","")))</f>
        <v/>
      </c>
      <c r="G541" s="110"/>
      <c r="H541" s="110"/>
      <c r="I541" s="110"/>
      <c r="J541" s="755" t="str">
        <f>IF(calculations!M178,CONCATENATE("OFE:  ",Rec!D217),IF(calculations!N178,Rec!D218,""))</f>
        <v/>
      </c>
      <c r="K541" s="756"/>
      <c r="L541" s="756"/>
      <c r="M541" s="756"/>
      <c r="N541" s="756"/>
      <c r="O541" s="756"/>
      <c r="P541" s="756"/>
      <c r="Q541" s="756"/>
      <c r="R541" s="756"/>
      <c r="S541" s="756"/>
      <c r="T541" s="756"/>
      <c r="U541" s="756"/>
      <c r="V541" s="756"/>
      <c r="W541" s="756"/>
      <c r="X541" s="756"/>
      <c r="Y541" s="756"/>
      <c r="Z541" s="756"/>
      <c r="AA541" s="756"/>
      <c r="AB541" s="756"/>
      <c r="AC541" s="756"/>
      <c r="AD541" s="756"/>
      <c r="AE541" s="756"/>
      <c r="AF541" s="756"/>
      <c r="AG541" s="756"/>
      <c r="AH541" s="756"/>
      <c r="AI541" s="756"/>
      <c r="AJ541" s="756"/>
      <c r="AK541" s="756"/>
      <c r="AL541" s="756"/>
      <c r="AM541" s="756"/>
      <c r="AN541" s="756"/>
      <c r="AO541" s="756"/>
      <c r="AP541" s="756"/>
      <c r="AQ541" s="756"/>
      <c r="AR541" s="757"/>
      <c r="AS541" s="125"/>
    </row>
    <row r="542" spans="1:47" x14ac:dyDescent="0.3">
      <c r="A542" s="116"/>
      <c r="B542" s="110"/>
      <c r="C542" s="110"/>
      <c r="D542" s="110"/>
      <c r="E542" s="115"/>
      <c r="F542" s="112"/>
      <c r="G542" s="129"/>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25"/>
    </row>
    <row r="543" spans="1:47" ht="14.15" x14ac:dyDescent="0.35">
      <c r="A543" s="286" t="s">
        <v>1378</v>
      </c>
      <c r="B543" s="110"/>
      <c r="C543" s="110"/>
      <c r="D543" s="120" t="str">
        <f>IF(calculations!B3=3,"REFERENCE CHECKS","")</f>
        <v/>
      </c>
      <c r="E543" s="115"/>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25"/>
    </row>
    <row r="544" spans="1:47" ht="4.5" customHeight="1" x14ac:dyDescent="0.3">
      <c r="A544" s="116"/>
      <c r="B544" s="110"/>
      <c r="C544" s="117"/>
      <c r="D544" s="117"/>
      <c r="E544" s="119"/>
      <c r="F544" s="117"/>
      <c r="G544" s="117"/>
      <c r="H544" s="117"/>
      <c r="I544" s="117"/>
      <c r="J544" s="117"/>
      <c r="K544" s="110"/>
      <c r="L544" s="110"/>
      <c r="M544" s="110"/>
      <c r="N544" s="110"/>
      <c r="O544" s="110"/>
      <c r="P544" s="110"/>
      <c r="Q544" s="110"/>
      <c r="R544" s="110"/>
      <c r="S544" s="110"/>
      <c r="T544" s="110"/>
      <c r="U544" s="111"/>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25"/>
    </row>
    <row r="545" spans="1:45" ht="26.25" customHeight="1" x14ac:dyDescent="0.3">
      <c r="A545" s="285" t="s">
        <v>1386</v>
      </c>
      <c r="B545" s="110"/>
      <c r="C545" s="1"/>
      <c r="D545" s="31"/>
      <c r="E545" s="32"/>
      <c r="F545" s="33"/>
      <c r="G545" s="31"/>
      <c r="H545" s="31"/>
      <c r="I545" s="31"/>
      <c r="J545" s="31"/>
      <c r="K545" s="241"/>
      <c r="L545" s="775" t="str">
        <f>IF(calculations!B3=3,"1) PLATINUM MEDAL plus three documented reference checks for child-serving volunteers. 
2) One of the references for each work or volunteer applicant is a family member.","")</f>
        <v/>
      </c>
      <c r="M545" s="775"/>
      <c r="N545" s="775"/>
      <c r="O545" s="775"/>
      <c r="P545" s="775"/>
      <c r="Q545" s="775"/>
      <c r="R545" s="775"/>
      <c r="S545" s="775"/>
      <c r="T545" s="775"/>
      <c r="U545" s="775"/>
      <c r="V545" s="775"/>
      <c r="W545" s="775"/>
      <c r="X545" s="775"/>
      <c r="Y545" s="775"/>
      <c r="Z545" s="775"/>
      <c r="AA545" s="775"/>
      <c r="AB545" s="775"/>
      <c r="AC545" s="775"/>
      <c r="AD545" s="775"/>
      <c r="AE545" s="775"/>
      <c r="AF545" s="775"/>
      <c r="AG545" s="775"/>
      <c r="AH545" s="775"/>
      <c r="AI545" s="775"/>
      <c r="AJ545" s="775"/>
      <c r="AK545" s="775"/>
      <c r="AL545" s="775"/>
      <c r="AM545" s="775"/>
      <c r="AN545" s="775"/>
      <c r="AO545" s="775"/>
      <c r="AP545" s="775"/>
      <c r="AQ545" s="775"/>
      <c r="AR545" s="775"/>
      <c r="AS545" s="125"/>
    </row>
    <row r="546" spans="1:45" ht="4.5" customHeight="1" x14ac:dyDescent="0.3">
      <c r="A546" s="116"/>
      <c r="B546" s="110"/>
      <c r="C546" s="1"/>
      <c r="D546" s="31"/>
      <c r="E546" s="34"/>
      <c r="F546" s="31"/>
      <c r="G546" s="31"/>
      <c r="H546" s="31"/>
      <c r="I546" s="31"/>
      <c r="J546" s="31"/>
      <c r="K546" s="241"/>
      <c r="L546" s="241"/>
      <c r="M546" s="241"/>
      <c r="N546" s="241"/>
      <c r="O546" s="241"/>
      <c r="P546" s="241"/>
      <c r="Q546" s="241"/>
      <c r="R546" s="241"/>
      <c r="S546" s="241"/>
      <c r="T546" s="241"/>
      <c r="U546" s="241"/>
      <c r="V546" s="241"/>
      <c r="W546" s="241"/>
      <c r="X546" s="241"/>
      <c r="Y546" s="241"/>
      <c r="Z546" s="241"/>
      <c r="AA546" s="241"/>
      <c r="AB546" s="241"/>
      <c r="AC546" s="241"/>
      <c r="AD546" s="241"/>
      <c r="AE546" s="241"/>
      <c r="AF546" s="241"/>
      <c r="AG546" s="241"/>
      <c r="AH546" s="241"/>
      <c r="AI546" s="241"/>
      <c r="AJ546" s="241"/>
      <c r="AK546" s="241"/>
      <c r="AL546" s="241"/>
      <c r="AM546" s="241"/>
      <c r="AN546" s="241"/>
      <c r="AO546" s="241"/>
      <c r="AP546" s="241"/>
      <c r="AQ546" s="241"/>
      <c r="AR546" s="241"/>
      <c r="AS546" s="125"/>
    </row>
    <row r="547" spans="1:45" ht="25.5" customHeight="1" x14ac:dyDescent="0.3">
      <c r="A547" s="116" t="s">
        <v>1385</v>
      </c>
      <c r="B547" s="110"/>
      <c r="C547" s="1"/>
      <c r="D547" s="31"/>
      <c r="E547" s="32"/>
      <c r="F547" s="33"/>
      <c r="G547" s="31"/>
      <c r="H547" s="31"/>
      <c r="I547" s="31"/>
      <c r="J547" s="31"/>
      <c r="K547" s="241"/>
      <c r="L547" s="775" t="str">
        <f>IF(calculations!B3=3,"GOLD MEDAL plus three documented reference checks for all paid staff (full and part-time) and independent contractors who directly serve campers or program participants.","")</f>
        <v/>
      </c>
      <c r="M547" s="775"/>
      <c r="N547" s="775"/>
      <c r="O547" s="775"/>
      <c r="P547" s="775"/>
      <c r="Q547" s="775"/>
      <c r="R547" s="775"/>
      <c r="S547" s="775"/>
      <c r="T547" s="775"/>
      <c r="U547" s="775"/>
      <c r="V547" s="775"/>
      <c r="W547" s="775"/>
      <c r="X547" s="775"/>
      <c r="Y547" s="775"/>
      <c r="Z547" s="775"/>
      <c r="AA547" s="775"/>
      <c r="AB547" s="775"/>
      <c r="AC547" s="775"/>
      <c r="AD547" s="775"/>
      <c r="AE547" s="775"/>
      <c r="AF547" s="775"/>
      <c r="AG547" s="775"/>
      <c r="AH547" s="775"/>
      <c r="AI547" s="775"/>
      <c r="AJ547" s="775"/>
      <c r="AK547" s="775"/>
      <c r="AL547" s="775"/>
      <c r="AM547" s="775"/>
      <c r="AN547" s="775"/>
      <c r="AO547" s="775"/>
      <c r="AP547" s="775"/>
      <c r="AQ547" s="775"/>
      <c r="AR547" s="775"/>
      <c r="AS547" s="125"/>
    </row>
    <row r="548" spans="1:45" ht="4.5" customHeight="1" x14ac:dyDescent="0.3">
      <c r="A548" s="116"/>
      <c r="B548" s="110"/>
      <c r="C548" s="1"/>
      <c r="D548" s="31"/>
      <c r="E548" s="32"/>
      <c r="F548" s="33"/>
      <c r="G548" s="31"/>
      <c r="H548" s="31"/>
      <c r="I548" s="31"/>
      <c r="J548" s="31"/>
      <c r="K548" s="241"/>
      <c r="L548" s="241"/>
      <c r="M548" s="241"/>
      <c r="N548" s="241"/>
      <c r="O548" s="241"/>
      <c r="P548" s="241"/>
      <c r="Q548" s="241"/>
      <c r="R548" s="241"/>
      <c r="S548" s="241"/>
      <c r="T548" s="241"/>
      <c r="U548" s="241"/>
      <c r="V548" s="241"/>
      <c r="W548" s="241"/>
      <c r="X548" s="241"/>
      <c r="Y548" s="241"/>
      <c r="Z548" s="241"/>
      <c r="AA548" s="241"/>
      <c r="AB548" s="241"/>
      <c r="AC548" s="241"/>
      <c r="AD548" s="241"/>
      <c r="AE548" s="241"/>
      <c r="AF548" s="241"/>
      <c r="AG548" s="241"/>
      <c r="AH548" s="241"/>
      <c r="AI548" s="241"/>
      <c r="AJ548" s="241"/>
      <c r="AK548" s="241"/>
      <c r="AL548" s="241"/>
      <c r="AM548" s="241"/>
      <c r="AN548" s="241"/>
      <c r="AO548" s="241"/>
      <c r="AP548" s="241"/>
      <c r="AQ548" s="241"/>
      <c r="AR548" s="241"/>
      <c r="AS548" s="125"/>
    </row>
    <row r="549" spans="1:45" x14ac:dyDescent="0.3">
      <c r="A549" s="116" t="s">
        <v>1387</v>
      </c>
      <c r="B549" s="110"/>
      <c r="C549" s="1"/>
      <c r="D549" s="31"/>
      <c r="E549" s="34"/>
      <c r="F549" s="31"/>
      <c r="G549" s="31"/>
      <c r="H549" s="31"/>
      <c r="I549" s="31"/>
      <c r="J549" s="31"/>
      <c r="K549" s="241"/>
      <c r="L549" s="783" t="str">
        <f>IF(calculations!B3=3,"Reference checks are completed and on file for all child-serving staff.","")</f>
        <v/>
      </c>
      <c r="M549" s="783"/>
      <c r="N549" s="783"/>
      <c r="O549" s="783"/>
      <c r="P549" s="783"/>
      <c r="Q549" s="783"/>
      <c r="R549" s="783"/>
      <c r="S549" s="783"/>
      <c r="T549" s="783"/>
      <c r="U549" s="783"/>
      <c r="V549" s="783"/>
      <c r="W549" s="783"/>
      <c r="X549" s="783"/>
      <c r="Y549" s="783"/>
      <c r="Z549" s="783"/>
      <c r="AA549" s="783"/>
      <c r="AB549" s="783"/>
      <c r="AC549" s="783"/>
      <c r="AD549" s="783"/>
      <c r="AE549" s="783"/>
      <c r="AF549" s="783"/>
      <c r="AG549" s="783"/>
      <c r="AH549" s="783"/>
      <c r="AI549" s="783"/>
      <c r="AJ549" s="783"/>
      <c r="AK549" s="783"/>
      <c r="AL549" s="783"/>
      <c r="AM549" s="783"/>
      <c r="AN549" s="783"/>
      <c r="AO549" s="783"/>
      <c r="AP549" s="783"/>
      <c r="AQ549" s="783"/>
      <c r="AR549" s="783"/>
      <c r="AS549" s="125"/>
    </row>
    <row r="550" spans="1:45" ht="4.5" customHeight="1" x14ac:dyDescent="0.3">
      <c r="A550" s="116"/>
      <c r="B550" s="110"/>
      <c r="C550" s="1"/>
      <c r="D550" s="31"/>
      <c r="E550" s="34"/>
      <c r="F550" s="31"/>
      <c r="G550" s="31"/>
      <c r="H550" s="31"/>
      <c r="I550" s="31"/>
      <c r="J550" s="31"/>
      <c r="K550" s="241"/>
      <c r="L550" s="241"/>
      <c r="M550" s="241"/>
      <c r="N550" s="241"/>
      <c r="O550" s="241"/>
      <c r="P550" s="241"/>
      <c r="Q550" s="241"/>
      <c r="R550" s="241"/>
      <c r="S550" s="241"/>
      <c r="T550" s="241"/>
      <c r="U550" s="241"/>
      <c r="V550" s="241"/>
      <c r="W550" s="241"/>
      <c r="X550" s="241"/>
      <c r="Y550" s="241"/>
      <c r="Z550" s="241"/>
      <c r="AA550" s="241"/>
      <c r="AB550" s="241"/>
      <c r="AC550" s="241"/>
      <c r="AD550" s="241"/>
      <c r="AE550" s="241"/>
      <c r="AF550" s="241"/>
      <c r="AG550" s="241"/>
      <c r="AH550" s="241"/>
      <c r="AI550" s="241"/>
      <c r="AJ550" s="241"/>
      <c r="AK550" s="241"/>
      <c r="AL550" s="241"/>
      <c r="AM550" s="241"/>
      <c r="AN550" s="241"/>
      <c r="AO550" s="241"/>
      <c r="AP550" s="241"/>
      <c r="AQ550" s="241"/>
      <c r="AR550" s="241"/>
      <c r="AS550" s="125"/>
    </row>
    <row r="551" spans="1:45" x14ac:dyDescent="0.3">
      <c r="A551" s="116" t="s">
        <v>1388</v>
      </c>
      <c r="B551" s="110"/>
      <c r="C551" s="1"/>
      <c r="D551" s="31"/>
      <c r="E551" s="32"/>
      <c r="F551" s="33"/>
      <c r="G551" s="31"/>
      <c r="H551" s="31"/>
      <c r="I551" s="31"/>
      <c r="J551" s="31"/>
      <c r="K551" s="241"/>
      <c r="L551" s="783" t="str">
        <f>IF(calculations!B3=3,"Reference checks are sometimes, but not always completed.","")</f>
        <v/>
      </c>
      <c r="M551" s="783"/>
      <c r="N551" s="783"/>
      <c r="O551" s="783"/>
      <c r="P551" s="783"/>
      <c r="Q551" s="783"/>
      <c r="R551" s="783"/>
      <c r="S551" s="783"/>
      <c r="T551" s="783"/>
      <c r="U551" s="783"/>
      <c r="V551" s="783"/>
      <c r="W551" s="783"/>
      <c r="X551" s="783"/>
      <c r="Y551" s="783"/>
      <c r="Z551" s="783"/>
      <c r="AA551" s="783"/>
      <c r="AB551" s="783"/>
      <c r="AC551" s="783"/>
      <c r="AD551" s="783"/>
      <c r="AE551" s="783"/>
      <c r="AF551" s="783"/>
      <c r="AG551" s="783"/>
      <c r="AH551" s="783"/>
      <c r="AI551" s="783"/>
      <c r="AJ551" s="783"/>
      <c r="AK551" s="783"/>
      <c r="AL551" s="783"/>
      <c r="AM551" s="783"/>
      <c r="AN551" s="783"/>
      <c r="AO551" s="783"/>
      <c r="AP551" s="783"/>
      <c r="AQ551" s="783"/>
      <c r="AR551" s="783"/>
      <c r="AS551" s="125"/>
    </row>
    <row r="552" spans="1:45" ht="4.5" customHeight="1" x14ac:dyDescent="0.3">
      <c r="A552" s="116"/>
      <c r="B552" s="110"/>
      <c r="C552" s="1"/>
      <c r="D552" s="1"/>
      <c r="E552" s="35"/>
      <c r="F552" s="1"/>
      <c r="G552" s="1"/>
      <c r="H552" s="1"/>
      <c r="I552" s="1"/>
      <c r="J552" s="1"/>
      <c r="K552" s="241"/>
      <c r="L552" s="241"/>
      <c r="M552" s="241"/>
      <c r="N552" s="241"/>
      <c r="O552" s="241"/>
      <c r="P552" s="241"/>
      <c r="Q552" s="241"/>
      <c r="R552" s="241"/>
      <c r="S552" s="241"/>
      <c r="T552" s="241"/>
      <c r="U552" s="241"/>
      <c r="V552" s="241"/>
      <c r="W552" s="241"/>
      <c r="X552" s="241"/>
      <c r="Y552" s="241"/>
      <c r="Z552" s="241"/>
      <c r="AA552" s="241"/>
      <c r="AB552" s="241"/>
      <c r="AC552" s="241"/>
      <c r="AD552" s="241"/>
      <c r="AE552" s="241"/>
      <c r="AF552" s="241"/>
      <c r="AG552" s="241"/>
      <c r="AH552" s="241"/>
      <c r="AI552" s="241"/>
      <c r="AJ552" s="241"/>
      <c r="AK552" s="241"/>
      <c r="AL552" s="241"/>
      <c r="AM552" s="241"/>
      <c r="AN552" s="241"/>
      <c r="AO552" s="241"/>
      <c r="AP552" s="241"/>
      <c r="AQ552" s="241"/>
      <c r="AR552" s="241"/>
      <c r="AS552" s="125"/>
    </row>
    <row r="553" spans="1:45" x14ac:dyDescent="0.3">
      <c r="A553" s="116" t="s">
        <v>1389</v>
      </c>
      <c r="B553" s="110"/>
      <c r="C553" s="1"/>
      <c r="D553" s="1"/>
      <c r="E553" s="11"/>
      <c r="F553" s="3"/>
      <c r="G553" s="1"/>
      <c r="H553" s="1"/>
      <c r="I553" s="1"/>
      <c r="J553" s="1"/>
      <c r="K553" s="241"/>
      <c r="L553" s="783" t="str">
        <f>IF(calculations!B3=3,"Reference checks are not completed.","")</f>
        <v/>
      </c>
      <c r="M553" s="783"/>
      <c r="N553" s="783"/>
      <c r="O553" s="783"/>
      <c r="P553" s="783"/>
      <c r="Q553" s="783"/>
      <c r="R553" s="783"/>
      <c r="S553" s="783"/>
      <c r="T553" s="783"/>
      <c r="U553" s="783"/>
      <c r="V553" s="783"/>
      <c r="W553" s="783"/>
      <c r="X553" s="783"/>
      <c r="Y553" s="783"/>
      <c r="Z553" s="783"/>
      <c r="AA553" s="783"/>
      <c r="AB553" s="783"/>
      <c r="AC553" s="783"/>
      <c r="AD553" s="783"/>
      <c r="AE553" s="783"/>
      <c r="AF553" s="783"/>
      <c r="AG553" s="783"/>
      <c r="AH553" s="783"/>
      <c r="AI553" s="783"/>
      <c r="AJ553" s="783"/>
      <c r="AK553" s="783"/>
      <c r="AL553" s="783"/>
      <c r="AM553" s="783"/>
      <c r="AN553" s="783"/>
      <c r="AO553" s="783"/>
      <c r="AP553" s="783"/>
      <c r="AQ553" s="783"/>
      <c r="AR553" s="783"/>
      <c r="AS553" s="125"/>
    </row>
    <row r="554" spans="1:45" ht="4.5" customHeight="1" x14ac:dyDescent="0.3">
      <c r="A554" s="116"/>
      <c r="B554" s="110"/>
      <c r="C554" s="110"/>
      <c r="D554" s="110"/>
      <c r="E554" s="115"/>
      <c r="F554" s="110"/>
      <c r="G554" s="110"/>
      <c r="H554" s="110"/>
      <c r="I554" s="110"/>
      <c r="J554" s="241"/>
      <c r="K554" s="241"/>
      <c r="L554" s="241"/>
      <c r="M554" s="241"/>
      <c r="N554" s="241"/>
      <c r="O554" s="241"/>
      <c r="P554" s="241"/>
      <c r="Q554" s="241"/>
      <c r="R554" s="241"/>
      <c r="S554" s="241"/>
      <c r="T554" s="241"/>
      <c r="U554" s="241"/>
      <c r="V554" s="241"/>
      <c r="W554" s="241"/>
      <c r="X554" s="241"/>
      <c r="Y554" s="241"/>
      <c r="Z554" s="241"/>
      <c r="AA554" s="241"/>
      <c r="AB554" s="241"/>
      <c r="AC554" s="241"/>
      <c r="AD554" s="241"/>
      <c r="AE554" s="241"/>
      <c r="AF554" s="241"/>
      <c r="AG554" s="241"/>
      <c r="AH554" s="241"/>
      <c r="AI554" s="241"/>
      <c r="AJ554" s="241"/>
      <c r="AK554" s="241"/>
      <c r="AL554" s="241"/>
      <c r="AM554" s="241"/>
      <c r="AN554" s="241"/>
      <c r="AO554" s="241"/>
      <c r="AP554" s="241"/>
      <c r="AQ554" s="241"/>
      <c r="AR554" s="241"/>
      <c r="AS554" s="125"/>
    </row>
    <row r="555" spans="1:45" x14ac:dyDescent="0.3">
      <c r="A555" s="116"/>
      <c r="B555" s="110"/>
      <c r="C555" s="110"/>
      <c r="D555" s="110"/>
      <c r="E555" s="115"/>
      <c r="F555" s="116" t="str">
        <f>IF(calculations!B3=3,"COMMENTS","")</f>
        <v/>
      </c>
      <c r="G555" s="110"/>
      <c r="H555" s="110"/>
      <c r="I555" s="110"/>
      <c r="J555" s="755" t="str">
        <f>IF(calculations!M179,"describe corrective action proposed to correct any Red Flag or Yellow Flag ranking",IF(calculations!N179,"describe corrective action proposed to correct any Red Flag or Yellow Flag ranking",""))</f>
        <v/>
      </c>
      <c r="K555" s="756"/>
      <c r="L555" s="756"/>
      <c r="M555" s="756"/>
      <c r="N555" s="756"/>
      <c r="O555" s="756"/>
      <c r="P555" s="756"/>
      <c r="Q555" s="756"/>
      <c r="R555" s="756"/>
      <c r="S555" s="756"/>
      <c r="T555" s="756"/>
      <c r="U555" s="756"/>
      <c r="V555" s="756"/>
      <c r="W555" s="756"/>
      <c r="X555" s="756"/>
      <c r="Y555" s="756"/>
      <c r="Z555" s="756"/>
      <c r="AA555" s="756"/>
      <c r="AB555" s="756"/>
      <c r="AC555" s="756"/>
      <c r="AD555" s="756"/>
      <c r="AE555" s="756"/>
      <c r="AF555" s="756"/>
      <c r="AG555" s="756"/>
      <c r="AH555" s="756"/>
      <c r="AI555" s="756"/>
      <c r="AJ555" s="756"/>
      <c r="AK555" s="756"/>
      <c r="AL555" s="756"/>
      <c r="AM555" s="756"/>
      <c r="AN555" s="756"/>
      <c r="AO555" s="756"/>
      <c r="AP555" s="756"/>
      <c r="AQ555" s="756"/>
      <c r="AR555" s="757"/>
      <c r="AS555" s="125"/>
    </row>
    <row r="556" spans="1:45" ht="4.5" customHeight="1" x14ac:dyDescent="0.3">
      <c r="A556" s="116"/>
      <c r="B556" s="110"/>
      <c r="C556" s="110"/>
      <c r="D556" s="110"/>
      <c r="E556" s="115"/>
      <c r="F556" s="116"/>
      <c r="G556" s="110"/>
      <c r="H556" s="110"/>
      <c r="I556" s="110"/>
      <c r="J556" s="315"/>
      <c r="K556" s="315"/>
      <c r="L556" s="315"/>
      <c r="M556" s="315"/>
      <c r="N556" s="315"/>
      <c r="O556" s="315"/>
      <c r="P556" s="315"/>
      <c r="Q556" s="315"/>
      <c r="R556" s="315"/>
      <c r="S556" s="315"/>
      <c r="T556" s="315"/>
      <c r="U556" s="315"/>
      <c r="V556" s="315"/>
      <c r="W556" s="315"/>
      <c r="X556" s="315"/>
      <c r="Y556" s="315"/>
      <c r="Z556" s="315"/>
      <c r="AA556" s="315"/>
      <c r="AB556" s="315"/>
      <c r="AC556" s="315"/>
      <c r="AD556" s="315"/>
      <c r="AE556" s="315"/>
      <c r="AF556" s="315"/>
      <c r="AG556" s="315"/>
      <c r="AH556" s="315"/>
      <c r="AI556" s="315"/>
      <c r="AJ556" s="315"/>
      <c r="AK556" s="315"/>
      <c r="AL556" s="315"/>
      <c r="AM556" s="315"/>
      <c r="AN556" s="315"/>
      <c r="AO556" s="315"/>
      <c r="AP556" s="315"/>
      <c r="AQ556" s="315"/>
      <c r="AR556" s="315"/>
      <c r="AS556" s="125"/>
    </row>
    <row r="557" spans="1:45" x14ac:dyDescent="0.3">
      <c r="A557" s="116"/>
      <c r="B557" s="110"/>
      <c r="C557" s="110"/>
      <c r="D557" s="110"/>
      <c r="E557" s="115"/>
      <c r="F557" s="114" t="str">
        <f>IF(calculations!G179=4,"OFE",IF(calculations!G179=5,"REC",IF(J557&gt;"","RECS","")))</f>
        <v/>
      </c>
      <c r="G557" s="110"/>
      <c r="H557" s="110"/>
      <c r="I557" s="110"/>
      <c r="J557" s="755" t="str">
        <f>IF(calculations!M179,CONCATENATE("OFE:  ",Rec!D219),IF(calculations!N179,Rec!D220,""))</f>
        <v/>
      </c>
      <c r="K557" s="756"/>
      <c r="L557" s="756"/>
      <c r="M557" s="756"/>
      <c r="N557" s="756"/>
      <c r="O557" s="756"/>
      <c r="P557" s="756"/>
      <c r="Q557" s="756"/>
      <c r="R557" s="756"/>
      <c r="S557" s="756"/>
      <c r="T557" s="756"/>
      <c r="U557" s="756"/>
      <c r="V557" s="756"/>
      <c r="W557" s="756"/>
      <c r="X557" s="756"/>
      <c r="Y557" s="756"/>
      <c r="Z557" s="756"/>
      <c r="AA557" s="756"/>
      <c r="AB557" s="756"/>
      <c r="AC557" s="756"/>
      <c r="AD557" s="756"/>
      <c r="AE557" s="756"/>
      <c r="AF557" s="756"/>
      <c r="AG557" s="756"/>
      <c r="AH557" s="756"/>
      <c r="AI557" s="756"/>
      <c r="AJ557" s="756"/>
      <c r="AK557" s="756"/>
      <c r="AL557" s="756"/>
      <c r="AM557" s="756"/>
      <c r="AN557" s="756"/>
      <c r="AO557" s="756"/>
      <c r="AP557" s="756"/>
      <c r="AQ557" s="756"/>
      <c r="AR557" s="757"/>
      <c r="AS557" s="125"/>
    </row>
    <row r="558" spans="1:45" x14ac:dyDescent="0.3">
      <c r="A558" s="116"/>
      <c r="B558" s="110"/>
      <c r="C558" s="110"/>
      <c r="D558" s="110"/>
      <c r="E558" s="115"/>
      <c r="F558" s="112"/>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25"/>
    </row>
    <row r="559" spans="1:45" ht="14.15" x14ac:dyDescent="0.35">
      <c r="A559" s="286" t="s">
        <v>1390</v>
      </c>
      <c r="B559" s="110"/>
      <c r="C559" s="110"/>
      <c r="D559" s="120" t="str">
        <f>IF(calculations!B3=3,"CRIMINAL BACKGROUND CHECKS","")</f>
        <v/>
      </c>
      <c r="E559" s="115"/>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25"/>
    </row>
    <row r="560" spans="1:45" ht="4.5" customHeight="1" x14ac:dyDescent="0.3">
      <c r="A560" s="116"/>
      <c r="B560" s="110"/>
      <c r="C560" s="110"/>
      <c r="D560" s="110"/>
      <c r="E560" s="115"/>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25"/>
    </row>
    <row r="561" spans="1:47" ht="24.75" customHeight="1" x14ac:dyDescent="0.3">
      <c r="A561" s="116" t="s">
        <v>1391</v>
      </c>
      <c r="B561" s="110"/>
      <c r="C561" s="1"/>
      <c r="D561" s="31"/>
      <c r="E561" s="32"/>
      <c r="F561" s="33"/>
      <c r="G561" s="31"/>
      <c r="H561" s="31"/>
      <c r="I561" s="31"/>
      <c r="J561" s="31"/>
      <c r="K561" s="241"/>
      <c r="L561" s="775" t="str">
        <f>IF(calculations!B3=3,"1) PLATINUM MEDAL expanded to include all programmatic, child-serving, or special event volunteers. 
2) All CBCs include a social security address trace.","")</f>
        <v/>
      </c>
      <c r="M561" s="775"/>
      <c r="N561" s="775"/>
      <c r="O561" s="775"/>
      <c r="P561" s="775"/>
      <c r="Q561" s="775"/>
      <c r="R561" s="775"/>
      <c r="S561" s="775"/>
      <c r="T561" s="775"/>
      <c r="U561" s="775"/>
      <c r="V561" s="775"/>
      <c r="W561" s="775"/>
      <c r="X561" s="775"/>
      <c r="Y561" s="775"/>
      <c r="Z561" s="775"/>
      <c r="AA561" s="775"/>
      <c r="AB561" s="775"/>
      <c r="AC561" s="775"/>
      <c r="AD561" s="775"/>
      <c r="AE561" s="775"/>
      <c r="AF561" s="775"/>
      <c r="AG561" s="775"/>
      <c r="AH561" s="775"/>
      <c r="AI561" s="775"/>
      <c r="AJ561" s="775"/>
      <c r="AK561" s="775"/>
      <c r="AL561" s="775"/>
      <c r="AM561" s="775"/>
      <c r="AN561" s="775"/>
      <c r="AO561" s="775"/>
      <c r="AP561" s="775"/>
      <c r="AQ561" s="775"/>
      <c r="AR561" s="775"/>
      <c r="AS561" s="125"/>
    </row>
    <row r="562" spans="1:47" ht="4.5" customHeight="1" x14ac:dyDescent="0.3">
      <c r="A562" s="116"/>
      <c r="B562" s="110"/>
      <c r="C562" s="1"/>
      <c r="D562" s="31"/>
      <c r="E562" s="34"/>
      <c r="F562" s="31"/>
      <c r="G562" s="31"/>
      <c r="H562" s="31"/>
      <c r="I562" s="31"/>
      <c r="J562" s="31"/>
      <c r="K562" s="241"/>
      <c r="L562" s="259"/>
      <c r="M562" s="259"/>
      <c r="N562" s="259"/>
      <c r="O562" s="259"/>
      <c r="P562" s="259"/>
      <c r="Q562" s="259"/>
      <c r="R562" s="259"/>
      <c r="S562" s="259"/>
      <c r="T562" s="259"/>
      <c r="U562" s="259"/>
      <c r="V562" s="259"/>
      <c r="W562" s="259"/>
      <c r="X562" s="259"/>
      <c r="Y562" s="259"/>
      <c r="Z562" s="259"/>
      <c r="AA562" s="259"/>
      <c r="AB562" s="259"/>
      <c r="AC562" s="259"/>
      <c r="AD562" s="259"/>
      <c r="AE562" s="259"/>
      <c r="AF562" s="259"/>
      <c r="AG562" s="259"/>
      <c r="AH562" s="259"/>
      <c r="AI562" s="259"/>
      <c r="AJ562" s="259"/>
      <c r="AK562" s="259"/>
      <c r="AL562" s="259"/>
      <c r="AM562" s="259"/>
      <c r="AN562" s="259"/>
      <c r="AO562" s="259"/>
      <c r="AP562" s="259"/>
      <c r="AQ562" s="259"/>
      <c r="AR562" s="259"/>
      <c r="AS562" s="125"/>
    </row>
    <row r="563" spans="1:47" ht="27" customHeight="1" x14ac:dyDescent="0.3">
      <c r="A563" s="116" t="s">
        <v>1392</v>
      </c>
      <c r="B563" s="110"/>
      <c r="C563" s="1"/>
      <c r="D563" s="31"/>
      <c r="E563" s="32"/>
      <c r="F563" s="33"/>
      <c r="G563" s="31"/>
      <c r="H563" s="31"/>
      <c r="I563" s="31"/>
      <c r="J563" s="31"/>
      <c r="K563" s="241"/>
      <c r="L563" s="775" t="str">
        <f>IF(calculations!B3=3,"GOLD MEDAL expanded to include all contractors who regularly interact with campers or participants (e.g., martial arts, masseuse, personal trainers, lifeguards, etc.).","")</f>
        <v/>
      </c>
      <c r="M563" s="775"/>
      <c r="N563" s="775"/>
      <c r="O563" s="775"/>
      <c r="P563" s="775"/>
      <c r="Q563" s="775"/>
      <c r="R563" s="775"/>
      <c r="S563" s="775"/>
      <c r="T563" s="775"/>
      <c r="U563" s="775"/>
      <c r="V563" s="775"/>
      <c r="W563" s="775"/>
      <c r="X563" s="775"/>
      <c r="Y563" s="775"/>
      <c r="Z563" s="775"/>
      <c r="AA563" s="775"/>
      <c r="AB563" s="775"/>
      <c r="AC563" s="775"/>
      <c r="AD563" s="775"/>
      <c r="AE563" s="775"/>
      <c r="AF563" s="775"/>
      <c r="AG563" s="775"/>
      <c r="AH563" s="775"/>
      <c r="AI563" s="775"/>
      <c r="AJ563" s="775"/>
      <c r="AK563" s="775"/>
      <c r="AL563" s="775"/>
      <c r="AM563" s="775"/>
      <c r="AN563" s="775"/>
      <c r="AO563" s="775"/>
      <c r="AP563" s="775"/>
      <c r="AQ563" s="775"/>
      <c r="AR563" s="775"/>
      <c r="AS563" s="125"/>
    </row>
    <row r="564" spans="1:47" ht="4.5" customHeight="1" x14ac:dyDescent="0.3">
      <c r="A564" s="116"/>
      <c r="B564" s="110"/>
      <c r="C564" s="1"/>
      <c r="D564" s="31"/>
      <c r="E564" s="32"/>
      <c r="F564" s="33"/>
      <c r="G564" s="31"/>
      <c r="H564" s="31"/>
      <c r="I564" s="31"/>
      <c r="J564" s="31"/>
      <c r="K564" s="241"/>
      <c r="L564" s="259"/>
      <c r="M564" s="259"/>
      <c r="N564" s="259"/>
      <c r="O564" s="259"/>
      <c r="P564" s="259"/>
      <c r="Q564" s="259"/>
      <c r="R564" s="259"/>
      <c r="S564" s="259"/>
      <c r="T564" s="259"/>
      <c r="U564" s="259"/>
      <c r="V564" s="259"/>
      <c r="W564" s="259"/>
      <c r="X564" s="259"/>
      <c r="Y564" s="259"/>
      <c r="Z564" s="259"/>
      <c r="AA564" s="259"/>
      <c r="AB564" s="259"/>
      <c r="AC564" s="259"/>
      <c r="AD564" s="259"/>
      <c r="AE564" s="259"/>
      <c r="AF564" s="259"/>
      <c r="AG564" s="259"/>
      <c r="AH564" s="259"/>
      <c r="AI564" s="259"/>
      <c r="AJ564" s="259"/>
      <c r="AK564" s="259"/>
      <c r="AL564" s="259"/>
      <c r="AM564" s="259"/>
      <c r="AN564" s="259"/>
      <c r="AO564" s="259"/>
      <c r="AP564" s="259"/>
      <c r="AQ564" s="259"/>
      <c r="AR564" s="241"/>
      <c r="AS564" s="125"/>
    </row>
    <row r="565" spans="1:47" ht="37.5" customHeight="1" x14ac:dyDescent="0.3">
      <c r="A565" s="116" t="s">
        <v>1393</v>
      </c>
      <c r="B565" s="110"/>
      <c r="C565" s="1"/>
      <c r="D565" s="31"/>
      <c r="E565" s="34"/>
      <c r="F565" s="31"/>
      <c r="G565" s="31"/>
      <c r="H565" s="31"/>
      <c r="I565" s="31"/>
      <c r="J565" s="31"/>
      <c r="K565" s="241"/>
      <c r="L565" s="775" t="str">
        <f>IF(calculations!B3=3,"1) CBCs from all jurisdictions in which the applicant has lived or worked for the last five years are required for all paid staff positions. 
2) DOJ sex offender registry checks are run at least annually.","")</f>
        <v/>
      </c>
      <c r="M565" s="775"/>
      <c r="N565" s="775"/>
      <c r="O565" s="775"/>
      <c r="P565" s="775"/>
      <c r="Q565" s="775"/>
      <c r="R565" s="775"/>
      <c r="S565" s="775"/>
      <c r="T565" s="775"/>
      <c r="U565" s="775"/>
      <c r="V565" s="775"/>
      <c r="W565" s="775"/>
      <c r="X565" s="775"/>
      <c r="Y565" s="775"/>
      <c r="Z565" s="775"/>
      <c r="AA565" s="775"/>
      <c r="AB565" s="775"/>
      <c r="AC565" s="775"/>
      <c r="AD565" s="775"/>
      <c r="AE565" s="775"/>
      <c r="AF565" s="775"/>
      <c r="AG565" s="775"/>
      <c r="AH565" s="775"/>
      <c r="AI565" s="775"/>
      <c r="AJ565" s="775"/>
      <c r="AK565" s="775"/>
      <c r="AL565" s="775"/>
      <c r="AM565" s="775"/>
      <c r="AN565" s="775"/>
      <c r="AO565" s="775"/>
      <c r="AP565" s="775"/>
      <c r="AQ565" s="775"/>
      <c r="AR565" s="775"/>
      <c r="AS565" s="125"/>
    </row>
    <row r="566" spans="1:47" ht="4.5" customHeight="1" x14ac:dyDescent="0.3">
      <c r="A566" s="116"/>
      <c r="B566" s="110"/>
      <c r="C566" s="1"/>
      <c r="D566" s="31"/>
      <c r="E566" s="34"/>
      <c r="F566" s="31"/>
      <c r="G566" s="31"/>
      <c r="H566" s="31"/>
      <c r="I566" s="31"/>
      <c r="J566" s="31"/>
      <c r="K566" s="241"/>
      <c r="L566" s="241"/>
      <c r="M566" s="241"/>
      <c r="N566" s="241"/>
      <c r="O566" s="241"/>
      <c r="P566" s="241"/>
      <c r="Q566" s="241"/>
      <c r="R566" s="241"/>
      <c r="S566" s="241"/>
      <c r="T566" s="241"/>
      <c r="U566" s="241"/>
      <c r="V566" s="241"/>
      <c r="W566" s="241"/>
      <c r="X566" s="241"/>
      <c r="Y566" s="241"/>
      <c r="Z566" s="241"/>
      <c r="AA566" s="241"/>
      <c r="AB566" s="241"/>
      <c r="AC566" s="241"/>
      <c r="AD566" s="241"/>
      <c r="AE566" s="241"/>
      <c r="AF566" s="241"/>
      <c r="AG566" s="241"/>
      <c r="AH566" s="241"/>
      <c r="AI566" s="241"/>
      <c r="AJ566" s="241"/>
      <c r="AK566" s="241"/>
      <c r="AL566" s="241"/>
      <c r="AM566" s="241"/>
      <c r="AN566" s="241"/>
      <c r="AO566" s="241"/>
      <c r="AP566" s="241"/>
      <c r="AQ566" s="241"/>
      <c r="AR566" s="241"/>
      <c r="AS566" s="125"/>
    </row>
    <row r="567" spans="1:47" x14ac:dyDescent="0.3">
      <c r="A567" s="116" t="s">
        <v>1394</v>
      </c>
      <c r="B567" s="110"/>
      <c r="C567" s="1"/>
      <c r="D567" s="31"/>
      <c r="E567" s="32"/>
      <c r="F567" s="33"/>
      <c r="G567" s="31"/>
      <c r="H567" s="31"/>
      <c r="I567" s="31"/>
      <c r="J567" s="31"/>
      <c r="K567" s="241"/>
      <c r="L567" s="783" t="str">
        <f>IF(calculations!B3=3,"Local CBCs are completed for all paid staff positions in childcare or that work with children.","")</f>
        <v/>
      </c>
      <c r="M567" s="783"/>
      <c r="N567" s="783"/>
      <c r="O567" s="783"/>
      <c r="P567" s="783"/>
      <c r="Q567" s="783"/>
      <c r="R567" s="783"/>
      <c r="S567" s="783"/>
      <c r="T567" s="783"/>
      <c r="U567" s="783"/>
      <c r="V567" s="783"/>
      <c r="W567" s="783"/>
      <c r="X567" s="783"/>
      <c r="Y567" s="783"/>
      <c r="Z567" s="783"/>
      <c r="AA567" s="783"/>
      <c r="AB567" s="783"/>
      <c r="AC567" s="783"/>
      <c r="AD567" s="783"/>
      <c r="AE567" s="783"/>
      <c r="AF567" s="783"/>
      <c r="AG567" s="783"/>
      <c r="AH567" s="783"/>
      <c r="AI567" s="783"/>
      <c r="AJ567" s="783"/>
      <c r="AK567" s="783"/>
      <c r="AL567" s="783"/>
      <c r="AM567" s="783"/>
      <c r="AN567" s="783"/>
      <c r="AO567" s="783"/>
      <c r="AP567" s="783"/>
      <c r="AQ567" s="783"/>
      <c r="AR567" s="783"/>
      <c r="AS567" s="125"/>
    </row>
    <row r="568" spans="1:47" ht="4.5" customHeight="1" x14ac:dyDescent="0.3">
      <c r="A568" s="116"/>
      <c r="B568" s="110"/>
      <c r="C568" s="1"/>
      <c r="D568" s="1"/>
      <c r="E568" s="35"/>
      <c r="F568" s="1"/>
      <c r="G568" s="1"/>
      <c r="H568" s="1"/>
      <c r="I568" s="1"/>
      <c r="J568" s="1"/>
      <c r="K568" s="241"/>
      <c r="L568" s="241"/>
      <c r="M568" s="241"/>
      <c r="N568" s="241"/>
      <c r="O568" s="241"/>
      <c r="P568" s="241"/>
      <c r="Q568" s="241"/>
      <c r="R568" s="241"/>
      <c r="S568" s="241"/>
      <c r="T568" s="241"/>
      <c r="U568" s="241"/>
      <c r="V568" s="241"/>
      <c r="W568" s="241"/>
      <c r="X568" s="241"/>
      <c r="Y568" s="241"/>
      <c r="Z568" s="241"/>
      <c r="AA568" s="241"/>
      <c r="AB568" s="241"/>
      <c r="AC568" s="241"/>
      <c r="AD568" s="241"/>
      <c r="AE568" s="241"/>
      <c r="AF568" s="241"/>
      <c r="AG568" s="241"/>
      <c r="AH568" s="241"/>
      <c r="AI568" s="241"/>
      <c r="AJ568" s="241"/>
      <c r="AK568" s="241"/>
      <c r="AL568" s="241"/>
      <c r="AM568" s="241"/>
      <c r="AN568" s="241"/>
      <c r="AO568" s="241"/>
      <c r="AP568" s="241"/>
      <c r="AQ568" s="241"/>
      <c r="AR568" s="241"/>
      <c r="AS568" s="125"/>
    </row>
    <row r="569" spans="1:47" x14ac:dyDescent="0.3">
      <c r="A569" s="116" t="s">
        <v>1395</v>
      </c>
      <c r="B569" s="110"/>
      <c r="C569" s="1"/>
      <c r="D569" s="1"/>
      <c r="E569" s="11"/>
      <c r="F569" s="3"/>
      <c r="G569" s="1"/>
      <c r="H569" s="1"/>
      <c r="I569" s="1"/>
      <c r="J569" s="1"/>
      <c r="K569" s="241"/>
      <c r="L569" s="783" t="str">
        <f>IF(calculations!B3=3,"Any use or non-use of CBCs that does not meet at least the Yellow Flag criteria above.","")</f>
        <v/>
      </c>
      <c r="M569" s="783"/>
      <c r="N569" s="783"/>
      <c r="O569" s="783"/>
      <c r="P569" s="783"/>
      <c r="Q569" s="783"/>
      <c r="R569" s="783"/>
      <c r="S569" s="783"/>
      <c r="T569" s="783"/>
      <c r="U569" s="783"/>
      <c r="V569" s="783"/>
      <c r="W569" s="783"/>
      <c r="X569" s="783"/>
      <c r="Y569" s="783"/>
      <c r="Z569" s="783"/>
      <c r="AA569" s="783"/>
      <c r="AB569" s="783"/>
      <c r="AC569" s="783"/>
      <c r="AD569" s="783"/>
      <c r="AE569" s="783"/>
      <c r="AF569" s="783"/>
      <c r="AG569" s="783"/>
      <c r="AH569" s="783"/>
      <c r="AI569" s="783"/>
      <c r="AJ569" s="783"/>
      <c r="AK569" s="783"/>
      <c r="AL569" s="783"/>
      <c r="AM569" s="783"/>
      <c r="AN569" s="783"/>
      <c r="AO569" s="783"/>
      <c r="AP569" s="783"/>
      <c r="AQ569" s="783"/>
      <c r="AR569" s="783"/>
      <c r="AS569" s="125"/>
    </row>
    <row r="570" spans="1:47" ht="4.5" customHeight="1" x14ac:dyDescent="0.3">
      <c r="A570" s="116"/>
      <c r="B570" s="110"/>
      <c r="C570" s="110"/>
      <c r="D570" s="110"/>
      <c r="E570" s="115"/>
      <c r="F570" s="110"/>
      <c r="G570" s="110"/>
      <c r="H570" s="110"/>
      <c r="I570" s="110"/>
      <c r="J570" s="241"/>
      <c r="K570" s="241"/>
      <c r="L570" s="241"/>
      <c r="M570" s="241"/>
      <c r="N570" s="241"/>
      <c r="O570" s="241"/>
      <c r="P570" s="241"/>
      <c r="Q570" s="241"/>
      <c r="R570" s="241"/>
      <c r="S570" s="241"/>
      <c r="T570" s="241"/>
      <c r="U570" s="241"/>
      <c r="V570" s="241"/>
      <c r="W570" s="241"/>
      <c r="X570" s="241"/>
      <c r="Y570" s="241"/>
      <c r="Z570" s="241"/>
      <c r="AA570" s="241"/>
      <c r="AB570" s="241"/>
      <c r="AC570" s="241"/>
      <c r="AD570" s="241"/>
      <c r="AE570" s="241"/>
      <c r="AF570" s="241"/>
      <c r="AG570" s="241"/>
      <c r="AH570" s="241"/>
      <c r="AI570" s="241"/>
      <c r="AJ570" s="241"/>
      <c r="AK570" s="241"/>
      <c r="AL570" s="241"/>
      <c r="AM570" s="241"/>
      <c r="AN570" s="241"/>
      <c r="AO570" s="241"/>
      <c r="AP570" s="241"/>
      <c r="AQ570" s="241"/>
      <c r="AR570" s="241"/>
      <c r="AS570" s="125"/>
    </row>
    <row r="571" spans="1:47" x14ac:dyDescent="0.3">
      <c r="A571" s="116"/>
      <c r="B571" s="110"/>
      <c r="C571" s="110"/>
      <c r="D571" s="110"/>
      <c r="E571" s="115"/>
      <c r="F571" s="116" t="str">
        <f>IF(calculations!B3=3,"COMMENTS","")</f>
        <v/>
      </c>
      <c r="G571" s="110"/>
      <c r="H571" s="110"/>
      <c r="I571" s="110"/>
      <c r="J571" s="755" t="str">
        <f>IF(calculations!M180,"describe corrective action needed for any Black Flag or Yellow Flag ranking",IF(calculations!N180,"describe corrective action needed for any Black Flag or Yellow Flag ranking",""))</f>
        <v/>
      </c>
      <c r="K571" s="756"/>
      <c r="L571" s="756"/>
      <c r="M571" s="756"/>
      <c r="N571" s="756"/>
      <c r="O571" s="756"/>
      <c r="P571" s="756"/>
      <c r="Q571" s="756"/>
      <c r="R571" s="756"/>
      <c r="S571" s="756"/>
      <c r="T571" s="756"/>
      <c r="U571" s="756"/>
      <c r="V571" s="756"/>
      <c r="W571" s="756"/>
      <c r="X571" s="756"/>
      <c r="Y571" s="756"/>
      <c r="Z571" s="756"/>
      <c r="AA571" s="756"/>
      <c r="AB571" s="756"/>
      <c r="AC571" s="756"/>
      <c r="AD571" s="756"/>
      <c r="AE571" s="756"/>
      <c r="AF571" s="756"/>
      <c r="AG571" s="756"/>
      <c r="AH571" s="756"/>
      <c r="AI571" s="756"/>
      <c r="AJ571" s="756"/>
      <c r="AK571" s="756"/>
      <c r="AL571" s="756"/>
      <c r="AM571" s="756"/>
      <c r="AN571" s="756"/>
      <c r="AO571" s="756"/>
      <c r="AP571" s="756"/>
      <c r="AQ571" s="756"/>
      <c r="AR571" s="757"/>
      <c r="AS571" s="125"/>
    </row>
    <row r="572" spans="1:47" ht="4.5" customHeight="1" x14ac:dyDescent="0.3">
      <c r="A572" s="116"/>
      <c r="B572" s="110"/>
      <c r="C572" s="110"/>
      <c r="D572" s="110"/>
      <c r="E572" s="115"/>
      <c r="F572" s="116"/>
      <c r="G572" s="110"/>
      <c r="H572" s="110"/>
      <c r="I572" s="110"/>
      <c r="J572" s="315"/>
      <c r="K572" s="315"/>
      <c r="L572" s="315"/>
      <c r="M572" s="315"/>
      <c r="N572" s="315"/>
      <c r="O572" s="315"/>
      <c r="P572" s="315"/>
      <c r="Q572" s="315"/>
      <c r="R572" s="315"/>
      <c r="S572" s="315"/>
      <c r="T572" s="315"/>
      <c r="U572" s="315"/>
      <c r="V572" s="315"/>
      <c r="W572" s="315"/>
      <c r="X572" s="315"/>
      <c r="Y572" s="315"/>
      <c r="Z572" s="315"/>
      <c r="AA572" s="315"/>
      <c r="AB572" s="315"/>
      <c r="AC572" s="315"/>
      <c r="AD572" s="315"/>
      <c r="AE572" s="315"/>
      <c r="AF572" s="315"/>
      <c r="AG572" s="315"/>
      <c r="AH572" s="315"/>
      <c r="AI572" s="315"/>
      <c r="AJ572" s="315"/>
      <c r="AK572" s="315"/>
      <c r="AL572" s="315"/>
      <c r="AM572" s="315"/>
      <c r="AN572" s="315"/>
      <c r="AO572" s="315"/>
      <c r="AP572" s="315"/>
      <c r="AQ572" s="315"/>
      <c r="AR572" s="315"/>
      <c r="AS572" s="125"/>
      <c r="AT572" s="110"/>
      <c r="AU572" s="110"/>
    </row>
    <row r="573" spans="1:47" ht="34.5" customHeight="1" x14ac:dyDescent="0.3">
      <c r="A573" s="116"/>
      <c r="B573" s="110"/>
      <c r="C573" s="110"/>
      <c r="D573" s="110"/>
      <c r="E573" s="115"/>
      <c r="F573" s="114" t="str">
        <f>IF(calculations!G180=4,"OFE",IF(calculations!G180=5,"REC",IF(J573&gt;"","RECS","")))</f>
        <v/>
      </c>
      <c r="G573" s="110"/>
      <c r="H573" s="110"/>
      <c r="I573" s="110"/>
      <c r="J573" s="788" t="str">
        <f>IF(calculations!M180,CONCATENATE("OFE:  ",Rec!D221),IF(calculations!N180,Rec!D222,""))</f>
        <v/>
      </c>
      <c r="K573" s="789"/>
      <c r="L573" s="789"/>
      <c r="M573" s="789"/>
      <c r="N573" s="789"/>
      <c r="O573" s="789"/>
      <c r="P573" s="789"/>
      <c r="Q573" s="789"/>
      <c r="R573" s="789"/>
      <c r="S573" s="789"/>
      <c r="T573" s="789"/>
      <c r="U573" s="789"/>
      <c r="V573" s="789"/>
      <c r="W573" s="789"/>
      <c r="X573" s="789"/>
      <c r="Y573" s="789"/>
      <c r="Z573" s="789"/>
      <c r="AA573" s="789"/>
      <c r="AB573" s="789"/>
      <c r="AC573" s="789"/>
      <c r="AD573" s="789"/>
      <c r="AE573" s="789"/>
      <c r="AF573" s="789"/>
      <c r="AG573" s="789"/>
      <c r="AH573" s="789"/>
      <c r="AI573" s="789"/>
      <c r="AJ573" s="789"/>
      <c r="AK573" s="789"/>
      <c r="AL573" s="789"/>
      <c r="AM573" s="789"/>
      <c r="AN573" s="789"/>
      <c r="AO573" s="789"/>
      <c r="AP573" s="789"/>
      <c r="AQ573" s="789"/>
      <c r="AR573" s="790"/>
      <c r="AS573" s="125"/>
    </row>
    <row r="574" spans="1:47" x14ac:dyDescent="0.3">
      <c r="A574" s="116"/>
      <c r="B574" s="110"/>
      <c r="C574" s="110"/>
      <c r="D574" s="110"/>
      <c r="E574" s="115"/>
      <c r="F574" s="112"/>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25"/>
    </row>
    <row r="575" spans="1:47" ht="14.15" x14ac:dyDescent="0.35">
      <c r="A575" s="286" t="s">
        <v>1396</v>
      </c>
      <c r="B575" s="110"/>
      <c r="C575" s="110"/>
      <c r="D575" s="120" t="str">
        <f>IF(calculations!B3=3,"TRAINING","")</f>
        <v/>
      </c>
      <c r="E575" s="115"/>
      <c r="F575" s="110"/>
      <c r="G575" s="110"/>
      <c r="H575" s="110"/>
      <c r="I575" s="145" t="str">
        <f>IF(calculations!B3=3,"(REFERS TO PREVENTATIVE TRAINING, NOT 'HOW TO SPOT ABUSED KIDS' OR 'HOW TO REPORT')","")</f>
        <v/>
      </c>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25"/>
    </row>
    <row r="576" spans="1:47" ht="4.5" customHeight="1" x14ac:dyDescent="0.3">
      <c r="A576" s="116"/>
      <c r="B576" s="110"/>
      <c r="C576" s="110"/>
      <c r="D576" s="110"/>
      <c r="E576" s="115"/>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25"/>
    </row>
    <row r="577" spans="1:46" s="110" customFormat="1" ht="38.25" customHeight="1" x14ac:dyDescent="0.3">
      <c r="A577" s="116" t="s">
        <v>1470</v>
      </c>
      <c r="C577" s="1"/>
      <c r="D577" s="31"/>
      <c r="E577" s="32"/>
      <c r="F577" s="33"/>
      <c r="G577" s="31"/>
      <c r="H577" s="31"/>
      <c r="I577" s="31"/>
      <c r="J577" s="31"/>
      <c r="K577" s="241"/>
      <c r="L577" s="775" t="str">
        <f>IF(calculations!B3=3,"1) PLATINUM MEDAL plus any policy board volunteers complete an overview of abuse prevention training. 
2) All staff receive their child abuse prevention training before working with children.","")</f>
        <v/>
      </c>
      <c r="M577" s="775"/>
      <c r="N577" s="775"/>
      <c r="O577" s="775"/>
      <c r="P577" s="775"/>
      <c r="Q577" s="775"/>
      <c r="R577" s="775"/>
      <c r="S577" s="775"/>
      <c r="T577" s="775"/>
      <c r="U577" s="775"/>
      <c r="V577" s="775"/>
      <c r="W577" s="775"/>
      <c r="X577" s="775"/>
      <c r="Y577" s="775"/>
      <c r="Z577" s="775"/>
      <c r="AA577" s="775"/>
      <c r="AB577" s="775"/>
      <c r="AC577" s="775"/>
      <c r="AD577" s="775"/>
      <c r="AE577" s="775"/>
      <c r="AF577" s="775"/>
      <c r="AG577" s="775"/>
      <c r="AH577" s="775"/>
      <c r="AI577" s="775"/>
      <c r="AJ577" s="775"/>
      <c r="AK577" s="775"/>
      <c r="AL577" s="775"/>
      <c r="AM577" s="775"/>
      <c r="AN577" s="775"/>
      <c r="AO577" s="775"/>
      <c r="AP577" s="775"/>
      <c r="AQ577" s="775"/>
      <c r="AR577" s="775"/>
      <c r="AT577" s="111"/>
    </row>
    <row r="578" spans="1:46" s="110" customFormat="1" ht="4.5" customHeight="1" x14ac:dyDescent="0.3">
      <c r="A578" s="116"/>
      <c r="C578" s="1"/>
      <c r="D578" s="31"/>
      <c r="E578" s="34"/>
      <c r="F578" s="31"/>
      <c r="G578" s="31"/>
      <c r="H578" s="31"/>
      <c r="I578" s="31"/>
      <c r="J578" s="31"/>
      <c r="K578" s="241"/>
      <c r="L578" s="241"/>
      <c r="M578" s="241"/>
      <c r="N578" s="241"/>
      <c r="O578" s="241"/>
      <c r="P578" s="241"/>
      <c r="Q578" s="241"/>
      <c r="R578" s="241"/>
      <c r="S578" s="241"/>
      <c r="T578" s="241"/>
      <c r="U578" s="241"/>
      <c r="V578" s="241"/>
      <c r="W578" s="241"/>
      <c r="X578" s="241"/>
      <c r="Y578" s="241"/>
      <c r="Z578" s="241"/>
      <c r="AA578" s="241"/>
      <c r="AB578" s="241"/>
      <c r="AC578" s="241"/>
      <c r="AD578" s="241"/>
      <c r="AE578" s="241"/>
      <c r="AF578" s="241"/>
      <c r="AG578" s="241"/>
      <c r="AH578" s="241"/>
      <c r="AI578" s="241"/>
      <c r="AJ578" s="241"/>
      <c r="AK578" s="241"/>
      <c r="AL578" s="241"/>
      <c r="AM578" s="241"/>
      <c r="AN578" s="241"/>
      <c r="AO578" s="241"/>
      <c r="AP578" s="241"/>
      <c r="AQ578" s="241"/>
      <c r="AR578" s="241"/>
      <c r="AT578" s="111"/>
    </row>
    <row r="579" spans="1:46" s="110" customFormat="1" ht="25.5" customHeight="1" x14ac:dyDescent="0.3">
      <c r="A579" s="116" t="s">
        <v>1471</v>
      </c>
      <c r="C579" s="1"/>
      <c r="D579" s="31"/>
      <c r="E579" s="32"/>
      <c r="F579" s="33"/>
      <c r="G579" s="31"/>
      <c r="H579" s="31"/>
      <c r="I579" s="31"/>
      <c r="J579" s="31"/>
      <c r="K579" s="241"/>
      <c r="L579" s="775" t="str">
        <f>IF(calculations!B3=3,"GOLD MEDAL plus a documented annual refresher is completed by all staff (internal, Praesidium, or other).","")</f>
        <v/>
      </c>
      <c r="M579" s="775"/>
      <c r="N579" s="775"/>
      <c r="O579" s="775"/>
      <c r="P579" s="775"/>
      <c r="Q579" s="775"/>
      <c r="R579" s="775"/>
      <c r="S579" s="775"/>
      <c r="T579" s="775"/>
      <c r="U579" s="775"/>
      <c r="V579" s="775"/>
      <c r="W579" s="775"/>
      <c r="X579" s="775"/>
      <c r="Y579" s="775"/>
      <c r="Z579" s="775"/>
      <c r="AA579" s="775"/>
      <c r="AB579" s="775"/>
      <c r="AC579" s="775"/>
      <c r="AD579" s="775"/>
      <c r="AE579" s="775"/>
      <c r="AF579" s="775"/>
      <c r="AG579" s="775"/>
      <c r="AH579" s="775"/>
      <c r="AI579" s="775"/>
      <c r="AJ579" s="775"/>
      <c r="AK579" s="775"/>
      <c r="AL579" s="775"/>
      <c r="AM579" s="775"/>
      <c r="AN579" s="775"/>
      <c r="AO579" s="775"/>
      <c r="AP579" s="775"/>
      <c r="AQ579" s="775"/>
      <c r="AR579" s="775"/>
      <c r="AT579" s="111"/>
    </row>
    <row r="580" spans="1:46" s="110" customFormat="1" ht="4.5" customHeight="1" x14ac:dyDescent="0.3">
      <c r="A580" s="116"/>
      <c r="C580" s="1"/>
      <c r="D580" s="31"/>
      <c r="E580" s="32"/>
      <c r="F580" s="33"/>
      <c r="G580" s="31"/>
      <c r="H580" s="31"/>
      <c r="I580" s="31"/>
      <c r="J580" s="31"/>
      <c r="K580" s="241"/>
      <c r="L580" s="241"/>
      <c r="M580" s="241"/>
      <c r="N580" s="241"/>
      <c r="O580" s="241"/>
      <c r="P580" s="241"/>
      <c r="Q580" s="241"/>
      <c r="R580" s="241"/>
      <c r="S580" s="241"/>
      <c r="T580" s="241"/>
      <c r="U580" s="241"/>
      <c r="V580" s="241"/>
      <c r="W580" s="241"/>
      <c r="X580" s="241"/>
      <c r="Y580" s="241"/>
      <c r="Z580" s="241"/>
      <c r="AA580" s="241"/>
      <c r="AB580" s="241"/>
      <c r="AC580" s="241"/>
      <c r="AD580" s="241"/>
      <c r="AE580" s="241"/>
      <c r="AF580" s="241"/>
      <c r="AG580" s="241"/>
      <c r="AH580" s="241"/>
      <c r="AI580" s="241"/>
      <c r="AJ580" s="241"/>
      <c r="AK580" s="241"/>
      <c r="AL580" s="241"/>
      <c r="AM580" s="241"/>
      <c r="AN580" s="241"/>
      <c r="AO580" s="241"/>
      <c r="AP580" s="241"/>
      <c r="AQ580" s="241"/>
      <c r="AR580" s="241"/>
      <c r="AT580" s="111"/>
    </row>
    <row r="581" spans="1:46" s="110" customFormat="1" ht="49.5" customHeight="1" x14ac:dyDescent="0.3">
      <c r="A581" s="116" t="s">
        <v>1472</v>
      </c>
      <c r="C581" s="1"/>
      <c r="D581" s="31"/>
      <c r="E581" s="34"/>
      <c r="F581" s="31"/>
      <c r="G581" s="31"/>
      <c r="H581" s="31"/>
      <c r="I581" s="31"/>
      <c r="J581" s="31"/>
      <c r="K581" s="241"/>
      <c r="L581" s="775" t="str">
        <f>IF(calculations!B3=3,forms!A218,"")</f>
        <v/>
      </c>
      <c r="M581" s="775"/>
      <c r="N581" s="775"/>
      <c r="O581" s="775"/>
      <c r="P581" s="775"/>
      <c r="Q581" s="775"/>
      <c r="R581" s="775"/>
      <c r="S581" s="775"/>
      <c r="T581" s="775"/>
      <c r="U581" s="775"/>
      <c r="V581" s="775"/>
      <c r="W581" s="775"/>
      <c r="X581" s="775"/>
      <c r="Y581" s="775"/>
      <c r="Z581" s="775"/>
      <c r="AA581" s="775"/>
      <c r="AB581" s="775"/>
      <c r="AC581" s="775"/>
      <c r="AD581" s="775"/>
      <c r="AE581" s="775"/>
      <c r="AF581" s="775"/>
      <c r="AG581" s="775"/>
      <c r="AH581" s="775"/>
      <c r="AI581" s="775"/>
      <c r="AJ581" s="775"/>
      <c r="AK581" s="775"/>
      <c r="AL581" s="775"/>
      <c r="AM581" s="775"/>
      <c r="AN581" s="775"/>
      <c r="AO581" s="775"/>
      <c r="AP581" s="775"/>
      <c r="AQ581" s="775"/>
      <c r="AR581" s="775"/>
      <c r="AT581" s="111"/>
    </row>
    <row r="582" spans="1:46" s="110" customFormat="1" ht="12.75" hidden="1" customHeight="1" x14ac:dyDescent="0.3">
      <c r="A582" s="116"/>
      <c r="C582" s="1"/>
      <c r="D582" s="31"/>
      <c r="E582" s="34"/>
      <c r="F582" s="31"/>
      <c r="G582" s="31"/>
      <c r="H582" s="31"/>
      <c r="I582" s="31"/>
      <c r="J582" s="31"/>
      <c r="K582" s="241"/>
      <c r="L582" s="775"/>
      <c r="M582" s="775"/>
      <c r="N582" s="775"/>
      <c r="O582" s="775"/>
      <c r="P582" s="775"/>
      <c r="Q582" s="775"/>
      <c r="R582" s="775"/>
      <c r="S582" s="775"/>
      <c r="T582" s="775"/>
      <c r="U582" s="775"/>
      <c r="V582" s="775"/>
      <c r="W582" s="775"/>
      <c r="X582" s="775"/>
      <c r="Y582" s="775"/>
      <c r="Z582" s="775"/>
      <c r="AA582" s="775"/>
      <c r="AB582" s="775"/>
      <c r="AC582" s="775"/>
      <c r="AD582" s="775"/>
      <c r="AE582" s="775"/>
      <c r="AF582" s="775"/>
      <c r="AG582" s="775"/>
      <c r="AH582" s="775"/>
      <c r="AI582" s="775"/>
      <c r="AJ582" s="775"/>
      <c r="AK582" s="775"/>
      <c r="AL582" s="775"/>
      <c r="AM582" s="775"/>
      <c r="AN582" s="775"/>
      <c r="AO582" s="775"/>
      <c r="AP582" s="775"/>
      <c r="AQ582" s="775"/>
      <c r="AR582" s="775"/>
      <c r="AT582" s="111"/>
    </row>
    <row r="583" spans="1:46" s="110" customFormat="1" ht="4.5" customHeight="1" x14ac:dyDescent="0.3">
      <c r="A583" s="116"/>
      <c r="C583" s="1"/>
      <c r="D583" s="31"/>
      <c r="E583" s="32"/>
      <c r="F583" s="33"/>
      <c r="G583" s="31"/>
      <c r="H583" s="31"/>
      <c r="I583" s="31"/>
      <c r="J583" s="31"/>
      <c r="K583" s="241"/>
      <c r="L583" s="241"/>
      <c r="M583" s="241"/>
      <c r="N583" s="241"/>
      <c r="O583" s="241"/>
      <c r="P583" s="241"/>
      <c r="Q583" s="241"/>
      <c r="R583" s="241"/>
      <c r="S583" s="241"/>
      <c r="T583" s="241"/>
      <c r="U583" s="241"/>
      <c r="V583" s="241"/>
      <c r="W583" s="241"/>
      <c r="X583" s="241"/>
      <c r="Y583" s="241"/>
      <c r="Z583" s="241"/>
      <c r="AA583" s="241"/>
      <c r="AB583" s="241"/>
      <c r="AC583" s="241"/>
      <c r="AD583" s="241"/>
      <c r="AE583" s="241"/>
      <c r="AF583" s="241"/>
      <c r="AG583" s="241"/>
      <c r="AH583" s="241"/>
      <c r="AI583" s="241"/>
      <c r="AJ583" s="241"/>
      <c r="AK583" s="241"/>
      <c r="AL583" s="241"/>
      <c r="AM583" s="241"/>
      <c r="AN583" s="241"/>
      <c r="AO583" s="241"/>
      <c r="AP583" s="241"/>
      <c r="AQ583" s="241"/>
      <c r="AR583" s="241"/>
      <c r="AT583" s="111"/>
    </row>
    <row r="584" spans="1:46" s="110" customFormat="1" ht="24.75" customHeight="1" x14ac:dyDescent="0.3">
      <c r="A584" s="116" t="s">
        <v>1468</v>
      </c>
      <c r="C584" s="1"/>
      <c r="D584" s="1"/>
      <c r="E584" s="35"/>
      <c r="F584" s="1"/>
      <c r="G584" s="1"/>
      <c r="H584" s="1"/>
      <c r="I584" s="1"/>
      <c r="J584" s="1"/>
      <c r="K584" s="241"/>
      <c r="L584" s="775" t="str">
        <f>IF(calculations!B3=3,"Child abuse prevention training is completed by all staff members who work with kids within 90 days of hire.","")</f>
        <v/>
      </c>
      <c r="M584" s="775"/>
      <c r="N584" s="775"/>
      <c r="O584" s="775"/>
      <c r="P584" s="775"/>
      <c r="Q584" s="775"/>
      <c r="R584" s="775"/>
      <c r="S584" s="775"/>
      <c r="T584" s="775"/>
      <c r="U584" s="775"/>
      <c r="V584" s="775"/>
      <c r="W584" s="775"/>
      <c r="X584" s="775"/>
      <c r="Y584" s="775"/>
      <c r="Z584" s="775"/>
      <c r="AA584" s="775"/>
      <c r="AB584" s="775"/>
      <c r="AC584" s="775"/>
      <c r="AD584" s="775"/>
      <c r="AE584" s="775"/>
      <c r="AF584" s="775"/>
      <c r="AG584" s="775"/>
      <c r="AH584" s="775"/>
      <c r="AI584" s="775"/>
      <c r="AJ584" s="775"/>
      <c r="AK584" s="775"/>
      <c r="AL584" s="775"/>
      <c r="AM584" s="775"/>
      <c r="AN584" s="775"/>
      <c r="AO584" s="775"/>
      <c r="AP584" s="775"/>
      <c r="AQ584" s="775"/>
      <c r="AR584" s="775"/>
      <c r="AT584" s="111"/>
    </row>
    <row r="585" spans="1:46" s="110" customFormat="1" ht="4.5" customHeight="1" x14ac:dyDescent="0.3">
      <c r="A585" s="116"/>
      <c r="C585" s="1"/>
      <c r="D585" s="1"/>
      <c r="E585" s="11"/>
      <c r="F585" s="3"/>
      <c r="G585" s="1"/>
      <c r="H585" s="1"/>
      <c r="I585" s="1"/>
      <c r="J585" s="1"/>
      <c r="K585" s="241"/>
      <c r="L585" s="241"/>
      <c r="M585" s="241"/>
      <c r="N585" s="241"/>
      <c r="O585" s="241"/>
      <c r="P585" s="241"/>
      <c r="Q585" s="241"/>
      <c r="R585" s="241"/>
      <c r="S585" s="241"/>
      <c r="T585" s="241"/>
      <c r="U585" s="241"/>
      <c r="V585" s="241"/>
      <c r="W585" s="241"/>
      <c r="X585" s="241"/>
      <c r="Y585" s="241"/>
      <c r="Z585" s="241"/>
      <c r="AA585" s="241"/>
      <c r="AB585" s="241"/>
      <c r="AC585" s="241"/>
      <c r="AD585" s="241"/>
      <c r="AE585" s="241"/>
      <c r="AF585" s="241"/>
      <c r="AG585" s="241"/>
      <c r="AH585" s="241"/>
      <c r="AI585" s="241"/>
      <c r="AJ585" s="241"/>
      <c r="AK585" s="241"/>
      <c r="AL585" s="241"/>
      <c r="AM585" s="241"/>
      <c r="AN585" s="241"/>
      <c r="AO585" s="241"/>
      <c r="AP585" s="241"/>
      <c r="AQ585" s="241"/>
      <c r="AR585" s="241"/>
      <c r="AT585" s="111"/>
    </row>
    <row r="586" spans="1:46" s="110" customFormat="1" x14ac:dyDescent="0.3">
      <c r="A586" s="116" t="s">
        <v>1469</v>
      </c>
      <c r="E586" s="118"/>
      <c r="F586" s="127"/>
      <c r="J586" s="241"/>
      <c r="K586" s="241"/>
      <c r="L586" s="783" t="str">
        <f>IF(calculations!B3=3,"Child abuse prevention training status is unknown or training is not provided.","")</f>
        <v/>
      </c>
      <c r="M586" s="783"/>
      <c r="N586" s="783"/>
      <c r="O586" s="783"/>
      <c r="P586" s="783"/>
      <c r="Q586" s="783"/>
      <c r="R586" s="783"/>
      <c r="S586" s="783"/>
      <c r="T586" s="783"/>
      <c r="U586" s="783"/>
      <c r="V586" s="783"/>
      <c r="W586" s="783"/>
      <c r="X586" s="783"/>
      <c r="Y586" s="783"/>
      <c r="Z586" s="783"/>
      <c r="AA586" s="783"/>
      <c r="AB586" s="783"/>
      <c r="AC586" s="783"/>
      <c r="AD586" s="783"/>
      <c r="AE586" s="783"/>
      <c r="AF586" s="783"/>
      <c r="AG586" s="783"/>
      <c r="AH586" s="783"/>
      <c r="AI586" s="783"/>
      <c r="AJ586" s="783"/>
      <c r="AK586" s="783"/>
      <c r="AL586" s="783"/>
      <c r="AM586" s="783"/>
      <c r="AN586" s="783"/>
      <c r="AO586" s="783"/>
      <c r="AP586" s="783"/>
      <c r="AQ586" s="783"/>
      <c r="AR586" s="783"/>
      <c r="AT586" s="111"/>
    </row>
    <row r="587" spans="1:46" s="110" customFormat="1" ht="4.5" customHeight="1" x14ac:dyDescent="0.3">
      <c r="A587" s="116"/>
      <c r="E587" s="115"/>
      <c r="J587" s="241"/>
      <c r="K587" s="241"/>
      <c r="L587" s="241"/>
      <c r="M587" s="241"/>
      <c r="N587" s="241"/>
      <c r="O587" s="241"/>
      <c r="P587" s="241"/>
      <c r="Q587" s="241"/>
      <c r="R587" s="241"/>
      <c r="S587" s="241"/>
      <c r="T587" s="241"/>
      <c r="U587" s="241"/>
      <c r="V587" s="241"/>
      <c r="W587" s="241"/>
      <c r="X587" s="241"/>
      <c r="Y587" s="241"/>
      <c r="Z587" s="241"/>
      <c r="AA587" s="241"/>
      <c r="AB587" s="241"/>
      <c r="AC587" s="241"/>
      <c r="AD587" s="241"/>
      <c r="AE587" s="241"/>
      <c r="AF587" s="241"/>
      <c r="AG587" s="241"/>
      <c r="AH587" s="241"/>
      <c r="AI587" s="241"/>
      <c r="AJ587" s="241"/>
      <c r="AK587" s="241"/>
      <c r="AL587" s="241"/>
      <c r="AM587" s="241"/>
      <c r="AN587" s="241"/>
      <c r="AO587" s="241"/>
      <c r="AP587" s="241"/>
      <c r="AQ587" s="241"/>
      <c r="AR587" s="241"/>
      <c r="AT587" s="111"/>
    </row>
    <row r="588" spans="1:46" s="110" customFormat="1" x14ac:dyDescent="0.3">
      <c r="A588" s="116"/>
      <c r="E588" s="115"/>
      <c r="F588" s="116" t="str">
        <f>IF(calculations!B3=3,"COMMENTS","")</f>
        <v/>
      </c>
      <c r="J588" s="755" t="str">
        <f>IF(calculations!M181,"describe corrective action proposed to correct any Red Flag or Yellow Flag ranking",IF(calculations!N181,"describe corrective action proposed to correct any Red Flag or Yellow Flag ranking",""))</f>
        <v/>
      </c>
      <c r="K588" s="756"/>
      <c r="L588" s="756"/>
      <c r="M588" s="756"/>
      <c r="N588" s="756"/>
      <c r="O588" s="756"/>
      <c r="P588" s="756"/>
      <c r="Q588" s="756"/>
      <c r="R588" s="756"/>
      <c r="S588" s="756"/>
      <c r="T588" s="756"/>
      <c r="U588" s="756"/>
      <c r="V588" s="756"/>
      <c r="W588" s="756"/>
      <c r="X588" s="756"/>
      <c r="Y588" s="756"/>
      <c r="Z588" s="756"/>
      <c r="AA588" s="756"/>
      <c r="AB588" s="756"/>
      <c r="AC588" s="756"/>
      <c r="AD588" s="756"/>
      <c r="AE588" s="756"/>
      <c r="AF588" s="756"/>
      <c r="AG588" s="756"/>
      <c r="AH588" s="756"/>
      <c r="AI588" s="756"/>
      <c r="AJ588" s="756"/>
      <c r="AK588" s="756"/>
      <c r="AL588" s="756"/>
      <c r="AM588" s="756"/>
      <c r="AN588" s="756"/>
      <c r="AO588" s="756"/>
      <c r="AP588" s="756"/>
      <c r="AQ588" s="756"/>
      <c r="AR588" s="757"/>
      <c r="AT588" s="111"/>
    </row>
    <row r="589" spans="1:46" s="110" customFormat="1" ht="4.5" customHeight="1" x14ac:dyDescent="0.3">
      <c r="A589" s="116"/>
      <c r="E589" s="115"/>
      <c r="F589" s="116"/>
      <c r="J589" s="315"/>
      <c r="K589" s="315"/>
      <c r="L589" s="315"/>
      <c r="M589" s="315"/>
      <c r="N589" s="315"/>
      <c r="O589" s="315"/>
      <c r="P589" s="315"/>
      <c r="Q589" s="315"/>
      <c r="R589" s="315"/>
      <c r="S589" s="315"/>
      <c r="T589" s="315"/>
      <c r="U589" s="315"/>
      <c r="V589" s="315"/>
      <c r="W589" s="315"/>
      <c r="X589" s="315"/>
      <c r="Y589" s="315"/>
      <c r="Z589" s="315"/>
      <c r="AA589" s="315"/>
      <c r="AB589" s="315"/>
      <c r="AC589" s="315"/>
      <c r="AD589" s="315"/>
      <c r="AE589" s="315"/>
      <c r="AF589" s="315"/>
      <c r="AG589" s="315"/>
      <c r="AH589" s="315"/>
      <c r="AI589" s="315"/>
      <c r="AJ589" s="315"/>
      <c r="AK589" s="315"/>
      <c r="AL589" s="315"/>
      <c r="AM589" s="315"/>
      <c r="AN589" s="315"/>
      <c r="AO589" s="315"/>
      <c r="AP589" s="315"/>
      <c r="AQ589" s="315"/>
      <c r="AR589" s="315"/>
      <c r="AT589" s="111"/>
    </row>
    <row r="590" spans="1:46" s="110" customFormat="1" ht="36.75" customHeight="1" x14ac:dyDescent="0.3">
      <c r="A590" s="116"/>
      <c r="E590" s="115"/>
      <c r="F590" s="114" t="str">
        <f>IF(J590&gt;"","RECS","")</f>
        <v/>
      </c>
      <c r="J590" s="755" t="str">
        <f>IF(calculations!M181,Rec!D223,IF(calculations!N181,Rec!D224,""))</f>
        <v/>
      </c>
      <c r="K590" s="756"/>
      <c r="L590" s="756"/>
      <c r="M590" s="756"/>
      <c r="N590" s="756"/>
      <c r="O590" s="756"/>
      <c r="P590" s="756"/>
      <c r="Q590" s="756"/>
      <c r="R590" s="756"/>
      <c r="S590" s="756"/>
      <c r="T590" s="756"/>
      <c r="U590" s="756"/>
      <c r="V590" s="756"/>
      <c r="W590" s="756"/>
      <c r="X590" s="756"/>
      <c r="Y590" s="756"/>
      <c r="Z590" s="756"/>
      <c r="AA590" s="756"/>
      <c r="AB590" s="756"/>
      <c r="AC590" s="756"/>
      <c r="AD590" s="756"/>
      <c r="AE590" s="756"/>
      <c r="AF590" s="756"/>
      <c r="AG590" s="756"/>
      <c r="AH590" s="756"/>
      <c r="AI590" s="756"/>
      <c r="AJ590" s="756"/>
      <c r="AK590" s="756"/>
      <c r="AL590" s="756"/>
      <c r="AM590" s="756"/>
      <c r="AN590" s="756"/>
      <c r="AO590" s="756"/>
      <c r="AP590" s="756"/>
      <c r="AQ590" s="756"/>
      <c r="AR590" s="757"/>
      <c r="AT590" s="111"/>
    </row>
    <row r="591" spans="1:46" s="110" customFormat="1" x14ac:dyDescent="0.3">
      <c r="A591" s="116"/>
      <c r="E591" s="115"/>
      <c r="F591" s="112"/>
      <c r="G591" s="129"/>
      <c r="AT591" s="111"/>
    </row>
    <row r="592" spans="1:46" s="110" customFormat="1" ht="14.15" x14ac:dyDescent="0.35">
      <c r="A592" s="286" t="s">
        <v>1396</v>
      </c>
      <c r="D592" s="120" t="str">
        <f>IF(calculations!B3=3,"ABUSE PREVENTION FEEDBACK","")</f>
        <v/>
      </c>
      <c r="E592" s="115"/>
      <c r="S592" s="145" t="str">
        <f>IF(calculations!B3=3,"(PARENTAL &amp; PARTICIPANT) …not satisfaction feedback","")</f>
        <v/>
      </c>
      <c r="AT592" s="111"/>
    </row>
    <row r="593" spans="1:46" s="110" customFormat="1" ht="4.5" customHeight="1" x14ac:dyDescent="0.3">
      <c r="A593" s="116"/>
      <c r="E593" s="115"/>
      <c r="AT593" s="111"/>
    </row>
    <row r="594" spans="1:46" s="110" customFormat="1" ht="37.5" customHeight="1" x14ac:dyDescent="0.3">
      <c r="A594" s="116" t="s">
        <v>1397</v>
      </c>
      <c r="C594" s="1"/>
      <c r="D594" s="31"/>
      <c r="E594" s="32"/>
      <c r="F594" s="33"/>
      <c r="G594" s="31"/>
      <c r="H594" s="31"/>
      <c r="I594" s="31"/>
      <c r="J594" s="31"/>
      <c r="K594" s="241"/>
      <c r="L594" s="786" t="str">
        <f>IF(calculations!B3=3,"1) PLATINUM MEDAL with the feedback systems being in place for the entire association. 
2) Standards and procedures are consistent across the association. (Diamond and Platinum levels are the same for stand-alone camps.)","")</f>
        <v/>
      </c>
      <c r="M594" s="786"/>
      <c r="N594" s="786"/>
      <c r="O594" s="786"/>
      <c r="P594" s="786"/>
      <c r="Q594" s="786"/>
      <c r="R594" s="786"/>
      <c r="S594" s="786"/>
      <c r="T594" s="786"/>
      <c r="U594" s="786"/>
      <c r="V594" s="786"/>
      <c r="W594" s="786"/>
      <c r="X594" s="786"/>
      <c r="Y594" s="786"/>
      <c r="Z594" s="786"/>
      <c r="AA594" s="786"/>
      <c r="AB594" s="786"/>
      <c r="AC594" s="786"/>
      <c r="AD594" s="786"/>
      <c r="AE594" s="786"/>
      <c r="AF594" s="786"/>
      <c r="AG594" s="786"/>
      <c r="AH594" s="786"/>
      <c r="AI594" s="786"/>
      <c r="AJ594" s="786"/>
      <c r="AK594" s="786"/>
      <c r="AL594" s="786"/>
      <c r="AM594" s="786"/>
      <c r="AN594" s="786"/>
      <c r="AO594" s="786"/>
      <c r="AP594" s="786"/>
      <c r="AQ594" s="786"/>
      <c r="AR594" s="786"/>
      <c r="AT594" s="111"/>
    </row>
    <row r="595" spans="1:46" s="110" customFormat="1" ht="4.5" customHeight="1" x14ac:dyDescent="0.3">
      <c r="A595" s="116"/>
      <c r="C595" s="1"/>
      <c r="D595" s="31"/>
      <c r="E595" s="34"/>
      <c r="F595" s="31"/>
      <c r="G595" s="31"/>
      <c r="H595" s="31"/>
      <c r="I595" s="31"/>
      <c r="J595" s="31"/>
      <c r="K595" s="241"/>
      <c r="L595" s="241"/>
      <c r="M595" s="241"/>
      <c r="N595" s="241"/>
      <c r="O595" s="241"/>
      <c r="P595" s="241"/>
      <c r="Q595" s="241"/>
      <c r="R595" s="241"/>
      <c r="S595" s="241"/>
      <c r="T595" s="241"/>
      <c r="U595" s="241"/>
      <c r="V595" s="241"/>
      <c r="W595" s="241"/>
      <c r="X595" s="241"/>
      <c r="Y595" s="241"/>
      <c r="Z595" s="241"/>
      <c r="AA595" s="241"/>
      <c r="AB595" s="241"/>
      <c r="AC595" s="241"/>
      <c r="AD595" s="241"/>
      <c r="AE595" s="241"/>
      <c r="AF595" s="241"/>
      <c r="AG595" s="241"/>
      <c r="AH595" s="241"/>
      <c r="AI595" s="241"/>
      <c r="AJ595" s="241"/>
      <c r="AK595" s="241"/>
      <c r="AL595" s="241"/>
      <c r="AM595" s="241"/>
      <c r="AN595" s="241"/>
      <c r="AO595" s="241"/>
      <c r="AP595" s="241"/>
      <c r="AQ595" s="241"/>
      <c r="AR595" s="241"/>
      <c r="AT595" s="111"/>
    </row>
    <row r="596" spans="1:46" s="110" customFormat="1" ht="37.5" customHeight="1" x14ac:dyDescent="0.3">
      <c r="A596" s="116" t="s">
        <v>1398</v>
      </c>
      <c r="C596" s="1"/>
      <c r="D596" s="31"/>
      <c r="E596" s="32"/>
      <c r="F596" s="33"/>
      <c r="G596" s="31"/>
      <c r="H596" s="31"/>
      <c r="I596" s="31"/>
      <c r="J596" s="31"/>
      <c r="K596" s="241"/>
      <c r="L596" s="775" t="str">
        <f>IF(calculations!B3=3,"GOLD MEDAL plus a parental feedback (reporting) system that provides male and female contacts who are not active in the program is in place); an outside reporting agency may be used instead of male/female internal contacts.","")</f>
        <v/>
      </c>
      <c r="M596" s="775"/>
      <c r="N596" s="775"/>
      <c r="O596" s="775"/>
      <c r="P596" s="775"/>
      <c r="Q596" s="775"/>
      <c r="R596" s="775"/>
      <c r="S596" s="775"/>
      <c r="T596" s="775"/>
      <c r="U596" s="775"/>
      <c r="V596" s="775"/>
      <c r="W596" s="775"/>
      <c r="X596" s="775"/>
      <c r="Y596" s="775"/>
      <c r="Z596" s="775"/>
      <c r="AA596" s="775"/>
      <c r="AB596" s="775"/>
      <c r="AC596" s="775"/>
      <c r="AD596" s="775"/>
      <c r="AE596" s="775"/>
      <c r="AF596" s="775"/>
      <c r="AG596" s="775"/>
      <c r="AH596" s="775"/>
      <c r="AI596" s="775"/>
      <c r="AJ596" s="775"/>
      <c r="AK596" s="775"/>
      <c r="AL596" s="775"/>
      <c r="AM596" s="775"/>
      <c r="AN596" s="775"/>
      <c r="AO596" s="775"/>
      <c r="AP596" s="775"/>
      <c r="AQ596" s="775"/>
      <c r="AR596" s="775"/>
      <c r="AT596" s="111"/>
    </row>
    <row r="597" spans="1:46" s="110" customFormat="1" ht="4.5" customHeight="1" x14ac:dyDescent="0.3">
      <c r="A597" s="116"/>
      <c r="C597" s="1"/>
      <c r="D597" s="31"/>
      <c r="E597" s="32"/>
      <c r="F597" s="33"/>
      <c r="G597" s="31"/>
      <c r="H597" s="31"/>
      <c r="I597" s="31"/>
      <c r="J597" s="31"/>
      <c r="K597" s="241"/>
      <c r="L597" s="241"/>
      <c r="M597" s="241"/>
      <c r="N597" s="241"/>
      <c r="O597" s="241"/>
      <c r="P597" s="241"/>
      <c r="Q597" s="241"/>
      <c r="R597" s="241"/>
      <c r="S597" s="241"/>
      <c r="T597" s="241"/>
      <c r="U597" s="241"/>
      <c r="V597" s="241"/>
      <c r="W597" s="241"/>
      <c r="X597" s="241"/>
      <c r="Y597" s="241"/>
      <c r="Z597" s="241"/>
      <c r="AA597" s="241"/>
      <c r="AB597" s="241"/>
      <c r="AC597" s="241"/>
      <c r="AD597" s="241"/>
      <c r="AE597" s="241"/>
      <c r="AF597" s="241"/>
      <c r="AG597" s="241"/>
      <c r="AH597" s="241"/>
      <c r="AI597" s="241"/>
      <c r="AJ597" s="241"/>
      <c r="AK597" s="241"/>
      <c r="AL597" s="241"/>
      <c r="AM597" s="241"/>
      <c r="AN597" s="241"/>
      <c r="AO597" s="241"/>
      <c r="AP597" s="241"/>
      <c r="AQ597" s="241"/>
      <c r="AR597" s="241"/>
      <c r="AT597" s="111"/>
    </row>
    <row r="598" spans="1:46" s="110" customFormat="1" ht="37.5" customHeight="1" x14ac:dyDescent="0.3">
      <c r="A598" s="116" t="s">
        <v>1399</v>
      </c>
      <c r="C598" s="1"/>
      <c r="D598" s="31"/>
      <c r="E598" s="34"/>
      <c r="F598" s="31"/>
      <c r="G598" s="31"/>
      <c r="H598" s="31"/>
      <c r="I598" s="31"/>
      <c r="J598" s="31"/>
      <c r="K598" s="241"/>
      <c r="L598" s="775" t="str">
        <f>IF(calculations!B3=3,"1) The staff and volunteers’ abuse prevention code of conduct is given to all parents of youthful participants. 
2) A copy is also posted on the website.","")</f>
        <v/>
      </c>
      <c r="M598" s="775"/>
      <c r="N598" s="775"/>
      <c r="O598" s="775"/>
      <c r="P598" s="775"/>
      <c r="Q598" s="775"/>
      <c r="R598" s="775"/>
      <c r="S598" s="775"/>
      <c r="T598" s="775"/>
      <c r="U598" s="775"/>
      <c r="V598" s="775"/>
      <c r="W598" s="775"/>
      <c r="X598" s="775"/>
      <c r="Y598" s="775"/>
      <c r="Z598" s="775"/>
      <c r="AA598" s="775"/>
      <c r="AB598" s="775"/>
      <c r="AC598" s="775"/>
      <c r="AD598" s="775"/>
      <c r="AE598" s="775"/>
      <c r="AF598" s="775"/>
      <c r="AG598" s="775"/>
      <c r="AH598" s="775"/>
      <c r="AI598" s="775"/>
      <c r="AJ598" s="775"/>
      <c r="AK598" s="775"/>
      <c r="AL598" s="775"/>
      <c r="AM598" s="775"/>
      <c r="AN598" s="775"/>
      <c r="AO598" s="775"/>
      <c r="AP598" s="775"/>
      <c r="AQ598" s="775"/>
      <c r="AR598" s="775"/>
      <c r="AT598" s="111"/>
    </row>
    <row r="599" spans="1:46" s="110" customFormat="1" ht="4.5" customHeight="1" x14ac:dyDescent="0.3">
      <c r="A599" s="116"/>
      <c r="C599" s="1"/>
      <c r="D599" s="31"/>
      <c r="E599" s="34"/>
      <c r="F599" s="31"/>
      <c r="G599" s="31"/>
      <c r="H599" s="31"/>
      <c r="I599" s="31"/>
      <c r="J599" s="31"/>
      <c r="K599" s="241"/>
      <c r="L599" s="241"/>
      <c r="M599" s="241"/>
      <c r="N599" s="241"/>
      <c r="O599" s="241"/>
      <c r="P599" s="241"/>
      <c r="Q599" s="241"/>
      <c r="R599" s="241"/>
      <c r="S599" s="241"/>
      <c r="T599" s="241"/>
      <c r="U599" s="241"/>
      <c r="V599" s="241"/>
      <c r="W599" s="241"/>
      <c r="X599" s="241"/>
      <c r="Y599" s="241"/>
      <c r="Z599" s="241"/>
      <c r="AA599" s="241"/>
      <c r="AB599" s="241"/>
      <c r="AC599" s="241"/>
      <c r="AD599" s="241"/>
      <c r="AE599" s="241"/>
      <c r="AF599" s="241"/>
      <c r="AG599" s="241"/>
      <c r="AH599" s="241"/>
      <c r="AI599" s="241"/>
      <c r="AJ599" s="241"/>
      <c r="AK599" s="241"/>
      <c r="AL599" s="241"/>
      <c r="AM599" s="241"/>
      <c r="AN599" s="241"/>
      <c r="AO599" s="241"/>
      <c r="AP599" s="241"/>
      <c r="AQ599" s="241"/>
      <c r="AR599" s="241"/>
      <c r="AT599" s="111"/>
    </row>
    <row r="600" spans="1:46" s="110" customFormat="1" ht="25.5" customHeight="1" x14ac:dyDescent="0.3">
      <c r="A600" s="116" t="s">
        <v>1400</v>
      </c>
      <c r="C600" s="1"/>
      <c r="D600" s="31"/>
      <c r="E600" s="32"/>
      <c r="F600" s="33"/>
      <c r="G600" s="31"/>
      <c r="H600" s="31"/>
      <c r="I600" s="31"/>
      <c r="J600" s="31"/>
      <c r="K600" s="241"/>
      <c r="L600" s="775" t="str">
        <f>IF(calculations!B3=3,"The staff and volunteers’ abuse prevention code of conduct is available upon request for parents and program participants OR is posted on the website.","")</f>
        <v/>
      </c>
      <c r="M600" s="775"/>
      <c r="N600" s="775"/>
      <c r="O600" s="775"/>
      <c r="P600" s="775"/>
      <c r="Q600" s="775"/>
      <c r="R600" s="775"/>
      <c r="S600" s="775"/>
      <c r="T600" s="775"/>
      <c r="U600" s="775"/>
      <c r="V600" s="775"/>
      <c r="W600" s="775"/>
      <c r="X600" s="775"/>
      <c r="Y600" s="775"/>
      <c r="Z600" s="775"/>
      <c r="AA600" s="775"/>
      <c r="AB600" s="775"/>
      <c r="AC600" s="775"/>
      <c r="AD600" s="775"/>
      <c r="AE600" s="775"/>
      <c r="AF600" s="775"/>
      <c r="AG600" s="775"/>
      <c r="AH600" s="775"/>
      <c r="AI600" s="775"/>
      <c r="AJ600" s="775"/>
      <c r="AK600" s="775"/>
      <c r="AL600" s="775"/>
      <c r="AM600" s="775"/>
      <c r="AN600" s="775"/>
      <c r="AO600" s="775"/>
      <c r="AP600" s="775"/>
      <c r="AQ600" s="775"/>
      <c r="AR600" s="775"/>
      <c r="AT600" s="111"/>
    </row>
    <row r="601" spans="1:46" s="110" customFormat="1" ht="4.5" customHeight="1" x14ac:dyDescent="0.3">
      <c r="A601" s="116"/>
      <c r="C601" s="1"/>
      <c r="D601" s="1"/>
      <c r="E601" s="35"/>
      <c r="F601" s="1"/>
      <c r="G601" s="1"/>
      <c r="H601" s="1"/>
      <c r="I601" s="1"/>
      <c r="J601" s="1"/>
      <c r="K601" s="241"/>
      <c r="L601" s="241"/>
      <c r="M601" s="241"/>
      <c r="N601" s="241"/>
      <c r="O601" s="241"/>
      <c r="P601" s="241"/>
      <c r="Q601" s="241"/>
      <c r="R601" s="241"/>
      <c r="S601" s="241"/>
      <c r="T601" s="241"/>
      <c r="U601" s="241"/>
      <c r="V601" s="241"/>
      <c r="W601" s="241"/>
      <c r="X601" s="241"/>
      <c r="Y601" s="241"/>
      <c r="Z601" s="241"/>
      <c r="AA601" s="241"/>
      <c r="AB601" s="241"/>
      <c r="AC601" s="241"/>
      <c r="AD601" s="241"/>
      <c r="AE601" s="241"/>
      <c r="AF601" s="241"/>
      <c r="AG601" s="241"/>
      <c r="AH601" s="241"/>
      <c r="AI601" s="241"/>
      <c r="AJ601" s="241"/>
      <c r="AK601" s="241"/>
      <c r="AL601" s="241"/>
      <c r="AM601" s="241"/>
      <c r="AN601" s="241"/>
      <c r="AO601" s="241"/>
      <c r="AP601" s="241"/>
      <c r="AQ601" s="241"/>
      <c r="AR601" s="241"/>
      <c r="AT601" s="111"/>
    </row>
    <row r="602" spans="1:46" s="110" customFormat="1" x14ac:dyDescent="0.3">
      <c r="A602" s="116" t="s">
        <v>1401</v>
      </c>
      <c r="C602" s="1"/>
      <c r="D602" s="1"/>
      <c r="E602" s="11"/>
      <c r="F602" s="3"/>
      <c r="G602" s="1"/>
      <c r="H602" s="1"/>
      <c r="I602" s="1"/>
      <c r="J602" s="1"/>
      <c r="K602" s="241"/>
      <c r="L602" s="783" t="str">
        <f>IF(calculations!B3=3,"No formal feedback system regarding abuse or abuse protection is in place.","")</f>
        <v/>
      </c>
      <c r="M602" s="783"/>
      <c r="N602" s="783"/>
      <c r="O602" s="783"/>
      <c r="P602" s="783"/>
      <c r="Q602" s="783"/>
      <c r="R602" s="783"/>
      <c r="S602" s="783"/>
      <c r="T602" s="783"/>
      <c r="U602" s="783"/>
      <c r="V602" s="783"/>
      <c r="W602" s="783"/>
      <c r="X602" s="783"/>
      <c r="Y602" s="783"/>
      <c r="Z602" s="783"/>
      <c r="AA602" s="783"/>
      <c r="AB602" s="783"/>
      <c r="AC602" s="783"/>
      <c r="AD602" s="783"/>
      <c r="AE602" s="783"/>
      <c r="AF602" s="783"/>
      <c r="AG602" s="783"/>
      <c r="AH602" s="783"/>
      <c r="AI602" s="783"/>
      <c r="AJ602" s="783"/>
      <c r="AK602" s="783"/>
      <c r="AL602" s="783"/>
      <c r="AM602" s="783"/>
      <c r="AN602" s="783"/>
      <c r="AO602" s="783"/>
      <c r="AP602" s="783"/>
      <c r="AQ602" s="783"/>
      <c r="AR602" s="783"/>
      <c r="AT602" s="111"/>
    </row>
    <row r="603" spans="1:46" s="110" customFormat="1" ht="4.5" customHeight="1" x14ac:dyDescent="0.3">
      <c r="A603" s="116"/>
      <c r="E603" s="115"/>
      <c r="J603" s="241"/>
      <c r="K603" s="241"/>
      <c r="L603" s="241"/>
      <c r="M603" s="241"/>
      <c r="N603" s="241"/>
      <c r="O603" s="241"/>
      <c r="P603" s="241"/>
      <c r="Q603" s="241"/>
      <c r="R603" s="241"/>
      <c r="S603" s="241"/>
      <c r="T603" s="241"/>
      <c r="U603" s="241"/>
      <c r="V603" s="241"/>
      <c r="W603" s="241"/>
      <c r="X603" s="241"/>
      <c r="Y603" s="241"/>
      <c r="Z603" s="241"/>
      <c r="AA603" s="241"/>
      <c r="AB603" s="241"/>
      <c r="AC603" s="241"/>
      <c r="AD603" s="241"/>
      <c r="AE603" s="241"/>
      <c r="AF603" s="241"/>
      <c r="AG603" s="241"/>
      <c r="AH603" s="241"/>
      <c r="AI603" s="241"/>
      <c r="AJ603" s="241"/>
      <c r="AK603" s="241"/>
      <c r="AL603" s="241"/>
      <c r="AM603" s="241"/>
      <c r="AN603" s="241"/>
      <c r="AO603" s="241"/>
      <c r="AP603" s="241"/>
      <c r="AQ603" s="241"/>
      <c r="AR603" s="241"/>
      <c r="AT603" s="111"/>
    </row>
    <row r="604" spans="1:46" s="110" customFormat="1" x14ac:dyDescent="0.3">
      <c r="A604" s="116"/>
      <c r="E604" s="115"/>
      <c r="F604" s="116" t="str">
        <f>IF(calculations!B3=3,"COMMENTS","")</f>
        <v/>
      </c>
      <c r="J604" s="755" t="str">
        <f>IF(calculations!M182,"describe corrective action proposed to correct any Red Flag or Yellow Flag ranking",IF(calculations!N182,"describe corrective action proposed to correct any Red Flag or Yellow Flag ranking",""))</f>
        <v/>
      </c>
      <c r="K604" s="756"/>
      <c r="L604" s="756"/>
      <c r="M604" s="756"/>
      <c r="N604" s="756"/>
      <c r="O604" s="756"/>
      <c r="P604" s="756"/>
      <c r="Q604" s="756"/>
      <c r="R604" s="756"/>
      <c r="S604" s="756"/>
      <c r="T604" s="756"/>
      <c r="U604" s="756"/>
      <c r="V604" s="756"/>
      <c r="W604" s="756"/>
      <c r="X604" s="756"/>
      <c r="Y604" s="756"/>
      <c r="Z604" s="756"/>
      <c r="AA604" s="756"/>
      <c r="AB604" s="756"/>
      <c r="AC604" s="756"/>
      <c r="AD604" s="756"/>
      <c r="AE604" s="756"/>
      <c r="AF604" s="756"/>
      <c r="AG604" s="756"/>
      <c r="AH604" s="756"/>
      <c r="AI604" s="756"/>
      <c r="AJ604" s="756"/>
      <c r="AK604" s="756"/>
      <c r="AL604" s="756"/>
      <c r="AM604" s="756"/>
      <c r="AN604" s="756"/>
      <c r="AO604" s="756"/>
      <c r="AP604" s="756"/>
      <c r="AQ604" s="756"/>
      <c r="AR604" s="757"/>
      <c r="AT604" s="111"/>
    </row>
    <row r="605" spans="1:46" s="110" customFormat="1" ht="4.5" customHeight="1" x14ac:dyDescent="0.3">
      <c r="A605" s="116"/>
      <c r="E605" s="115"/>
      <c r="F605" s="116"/>
    </row>
    <row r="606" spans="1:46" s="110" customFormat="1" ht="26.25" customHeight="1" x14ac:dyDescent="0.3">
      <c r="A606" s="116"/>
      <c r="E606" s="115"/>
      <c r="F606" s="114" t="str">
        <f>IF(J606&gt;"","OFE","")</f>
        <v/>
      </c>
      <c r="J606" s="755" t="str">
        <f>IF(calculations!M182,CONCATENATE("OFE:  ",Rec!D225),IF(calculations!N182,CONCATENATE("OFE:  ",Rec!D226),""))</f>
        <v/>
      </c>
      <c r="K606" s="756"/>
      <c r="L606" s="756"/>
      <c r="M606" s="756"/>
      <c r="N606" s="756"/>
      <c r="O606" s="756"/>
      <c r="P606" s="756"/>
      <c r="Q606" s="756"/>
      <c r="R606" s="756"/>
      <c r="S606" s="756"/>
      <c r="T606" s="756"/>
      <c r="U606" s="756"/>
      <c r="V606" s="756"/>
      <c r="W606" s="756"/>
      <c r="X606" s="756"/>
      <c r="Y606" s="756"/>
      <c r="Z606" s="756"/>
      <c r="AA606" s="756"/>
      <c r="AB606" s="756"/>
      <c r="AC606" s="756"/>
      <c r="AD606" s="756"/>
      <c r="AE606" s="756"/>
      <c r="AF606" s="756"/>
      <c r="AG606" s="756"/>
      <c r="AH606" s="756"/>
      <c r="AI606" s="756"/>
      <c r="AJ606" s="756"/>
      <c r="AK606" s="756"/>
      <c r="AL606" s="756"/>
      <c r="AM606" s="756"/>
      <c r="AN606" s="756"/>
      <c r="AO606" s="756"/>
      <c r="AP606" s="756"/>
      <c r="AQ606" s="756"/>
      <c r="AR606" s="757"/>
      <c r="AT606" s="111"/>
    </row>
    <row r="607" spans="1:46" s="110" customFormat="1" x14ac:dyDescent="0.3">
      <c r="A607" s="116"/>
      <c r="E607" s="115"/>
      <c r="F607" s="112"/>
      <c r="G607" s="129"/>
      <c r="AT607" s="111"/>
    </row>
    <row r="608" spans="1:46" s="110" customFormat="1" ht="14.15" x14ac:dyDescent="0.35">
      <c r="A608" s="286" t="s">
        <v>1402</v>
      </c>
      <c r="D608" s="120" t="str">
        <f>IF(calculations!B3=3,"TRANSPORTATION","")</f>
        <v/>
      </c>
      <c r="E608" s="115"/>
      <c r="AT608" s="111"/>
    </row>
    <row r="609" spans="1:46" s="110" customFormat="1" ht="4.5" customHeight="1" x14ac:dyDescent="0.3">
      <c r="A609" s="116"/>
      <c r="E609" s="115"/>
      <c r="AT609" s="111"/>
    </row>
    <row r="610" spans="1:46" s="110" customFormat="1" x14ac:dyDescent="0.3">
      <c r="A610" s="116" t="s">
        <v>1404</v>
      </c>
      <c r="C610" s="1"/>
      <c r="D610" s="31"/>
      <c r="E610" s="32"/>
      <c r="F610" s="33"/>
      <c r="G610" s="31"/>
      <c r="H610" s="31"/>
      <c r="I610" s="31"/>
      <c r="J610" s="215"/>
      <c r="L610" s="776" t="str">
        <f>IF(calculations!B3=3,"No transportation of children is done by staff, volunteers, or vendors/contractors.","")</f>
        <v/>
      </c>
      <c r="M610" s="776"/>
      <c r="N610" s="776"/>
      <c r="O610" s="776"/>
      <c r="P610" s="776"/>
      <c r="Q610" s="776"/>
      <c r="R610" s="776"/>
      <c r="S610" s="776"/>
      <c r="T610" s="776"/>
      <c r="U610" s="776"/>
      <c r="V610" s="776"/>
      <c r="W610" s="776"/>
      <c r="X610" s="776"/>
      <c r="Y610" s="776"/>
      <c r="Z610" s="776"/>
      <c r="AA610" s="776"/>
      <c r="AB610" s="776"/>
      <c r="AC610" s="776"/>
      <c r="AD610" s="776"/>
      <c r="AE610" s="776"/>
      <c r="AF610" s="776"/>
      <c r="AG610" s="776"/>
      <c r="AH610" s="776"/>
      <c r="AI610" s="776"/>
      <c r="AJ610" s="776"/>
      <c r="AK610" s="776"/>
      <c r="AL610" s="776"/>
      <c r="AM610" s="776"/>
      <c r="AN610" s="776"/>
      <c r="AO610" s="776"/>
      <c r="AP610" s="776"/>
      <c r="AQ610" s="776"/>
      <c r="AR610" s="776"/>
      <c r="AT610" s="111"/>
    </row>
    <row r="611" spans="1:46" s="110" customFormat="1" ht="4.5" customHeight="1" x14ac:dyDescent="0.3">
      <c r="A611" s="116"/>
      <c r="C611" s="1"/>
      <c r="D611" s="31"/>
      <c r="E611" s="34"/>
      <c r="F611" s="31"/>
      <c r="G611" s="31"/>
      <c r="H611" s="31"/>
      <c r="I611" s="31"/>
      <c r="J611" s="215"/>
      <c r="AT611" s="111"/>
    </row>
    <row r="612" spans="1:46" s="110" customFormat="1" ht="24.75" customHeight="1" x14ac:dyDescent="0.3">
      <c r="A612" s="116" t="s">
        <v>1405</v>
      </c>
      <c r="C612" s="1"/>
      <c r="D612" s="31"/>
      <c r="E612" s="32"/>
      <c r="F612" s="33"/>
      <c r="G612" s="31"/>
      <c r="H612" s="31"/>
      <c r="I612" s="31"/>
      <c r="J612" s="215"/>
      <c r="L612" s="776" t="str">
        <f>IF(calculations!B3=3,"PLATINUM MEDAL plus the children are divided and seated by size, age, or relationship as needed.","")</f>
        <v/>
      </c>
      <c r="M612" s="776"/>
      <c r="N612" s="776"/>
      <c r="O612" s="776"/>
      <c r="P612" s="776"/>
      <c r="Q612" s="776"/>
      <c r="R612" s="776"/>
      <c r="S612" s="776"/>
      <c r="T612" s="776"/>
      <c r="U612" s="776"/>
      <c r="V612" s="776"/>
      <c r="W612" s="776"/>
      <c r="X612" s="776"/>
      <c r="Y612" s="776"/>
      <c r="Z612" s="776"/>
      <c r="AA612" s="776"/>
      <c r="AB612" s="776"/>
      <c r="AC612" s="776"/>
      <c r="AD612" s="776"/>
      <c r="AE612" s="776"/>
      <c r="AF612" s="776"/>
      <c r="AG612" s="776"/>
      <c r="AH612" s="776"/>
      <c r="AI612" s="776"/>
      <c r="AJ612" s="776"/>
      <c r="AK612" s="776"/>
      <c r="AL612" s="776"/>
      <c r="AM612" s="776"/>
      <c r="AN612" s="776"/>
      <c r="AO612" s="776"/>
      <c r="AP612" s="776"/>
      <c r="AQ612" s="776"/>
      <c r="AR612" s="776"/>
      <c r="AT612" s="111"/>
    </row>
    <row r="613" spans="1:46" s="110" customFormat="1" ht="4.5" customHeight="1" x14ac:dyDescent="0.3">
      <c r="A613" s="116"/>
      <c r="C613" s="1"/>
      <c r="D613" s="31"/>
      <c r="E613" s="32"/>
      <c r="F613" s="33"/>
      <c r="G613" s="31"/>
      <c r="H613" s="31"/>
      <c r="I613" s="31"/>
      <c r="J613" s="215"/>
      <c r="AT613" s="111"/>
    </row>
    <row r="614" spans="1:46" s="110" customFormat="1" ht="26.25" customHeight="1" x14ac:dyDescent="0.3">
      <c r="A614" s="116" t="s">
        <v>1406</v>
      </c>
      <c r="C614" s="1"/>
      <c r="D614" s="31"/>
      <c r="E614" s="34"/>
      <c r="F614" s="31"/>
      <c r="G614" s="31"/>
      <c r="H614" s="31"/>
      <c r="I614" s="31"/>
      <c r="J614" s="215"/>
      <c r="L614" s="776" t="str">
        <f>IF(calculations!B3=3,"GOLD MEDAL plus the utilization of a procedure that ensures and documents that the bus is inspected to ensure that no child is left in the vehicle.","")</f>
        <v/>
      </c>
      <c r="M614" s="776"/>
      <c r="N614" s="776"/>
      <c r="O614" s="776"/>
      <c r="P614" s="776"/>
      <c r="Q614" s="776"/>
      <c r="R614" s="776"/>
      <c r="S614" s="776"/>
      <c r="T614" s="776"/>
      <c r="U614" s="776"/>
      <c r="V614" s="776"/>
      <c r="W614" s="776"/>
      <c r="X614" s="776"/>
      <c r="Y614" s="776"/>
      <c r="Z614" s="776"/>
      <c r="AA614" s="776"/>
      <c r="AB614" s="776"/>
      <c r="AC614" s="776"/>
      <c r="AD614" s="776"/>
      <c r="AE614" s="776"/>
      <c r="AF614" s="776"/>
      <c r="AG614" s="776"/>
      <c r="AH614" s="776"/>
      <c r="AI614" s="776"/>
      <c r="AJ614" s="776"/>
      <c r="AK614" s="776"/>
      <c r="AL614" s="776"/>
      <c r="AM614" s="776"/>
      <c r="AN614" s="776"/>
      <c r="AO614" s="776"/>
      <c r="AP614" s="776"/>
      <c r="AQ614" s="776"/>
      <c r="AR614" s="776"/>
      <c r="AT614" s="111"/>
    </row>
    <row r="615" spans="1:46" s="110" customFormat="1" ht="4.5" customHeight="1" x14ac:dyDescent="0.3">
      <c r="A615" s="116"/>
      <c r="C615" s="1"/>
      <c r="D615" s="31"/>
      <c r="E615" s="34"/>
      <c r="F615" s="31"/>
      <c r="G615" s="31"/>
      <c r="H615" s="31"/>
      <c r="I615" s="31"/>
      <c r="J615" s="215"/>
      <c r="AT615" s="111"/>
    </row>
    <row r="616" spans="1:46" s="110" customFormat="1" ht="40.5" customHeight="1" x14ac:dyDescent="0.3">
      <c r="A616" s="116" t="s">
        <v>1403</v>
      </c>
      <c r="C616" s="1"/>
      <c r="D616" s="31"/>
      <c r="E616" s="32"/>
      <c r="F616" s="33"/>
      <c r="G616" s="31"/>
      <c r="H616" s="31"/>
      <c r="I616" s="31"/>
      <c r="J616" s="215"/>
      <c r="L616" s="776" t="str">
        <f>IF(calculations!B3=3,"1) The program’s staff-to-child child ratio is always maintained during transport without counting the driver. 
2) If multiple staff are involved they are scattered throughout the vehicle.","")</f>
        <v/>
      </c>
      <c r="M616" s="776"/>
      <c r="N616" s="776"/>
      <c r="O616" s="776"/>
      <c r="P616" s="776"/>
      <c r="Q616" s="776"/>
      <c r="R616" s="776"/>
      <c r="S616" s="776"/>
      <c r="T616" s="776"/>
      <c r="U616" s="776"/>
      <c r="V616" s="776"/>
      <c r="W616" s="776"/>
      <c r="X616" s="776"/>
      <c r="Y616" s="776"/>
      <c r="Z616" s="776"/>
      <c r="AA616" s="776"/>
      <c r="AB616" s="776"/>
      <c r="AC616" s="776"/>
      <c r="AD616" s="776"/>
      <c r="AE616" s="776"/>
      <c r="AF616" s="776"/>
      <c r="AG616" s="776"/>
      <c r="AH616" s="776"/>
      <c r="AI616" s="776"/>
      <c r="AJ616" s="776"/>
      <c r="AK616" s="776"/>
      <c r="AL616" s="776"/>
      <c r="AM616" s="776"/>
      <c r="AN616" s="776"/>
      <c r="AO616" s="776"/>
      <c r="AP616" s="776"/>
      <c r="AQ616" s="776"/>
      <c r="AR616" s="776"/>
      <c r="AT616" s="111"/>
    </row>
    <row r="617" spans="1:46" s="110" customFormat="1" hidden="1" x14ac:dyDescent="0.3">
      <c r="A617" s="116"/>
      <c r="C617" s="1"/>
      <c r="D617" s="1"/>
      <c r="E617" s="35"/>
      <c r="F617" s="1"/>
      <c r="G617" s="1"/>
      <c r="H617" s="1"/>
      <c r="I617" s="1"/>
      <c r="J617" s="214"/>
      <c r="L617" s="776"/>
      <c r="M617" s="776"/>
      <c r="N617" s="776"/>
      <c r="O617" s="776"/>
      <c r="P617" s="776"/>
      <c r="Q617" s="776"/>
      <c r="R617" s="776"/>
      <c r="S617" s="776"/>
      <c r="T617" s="776"/>
      <c r="U617" s="776"/>
      <c r="V617" s="776"/>
      <c r="W617" s="776"/>
      <c r="X617" s="776"/>
      <c r="Y617" s="776"/>
      <c r="Z617" s="776"/>
      <c r="AA617" s="776"/>
      <c r="AB617" s="776"/>
      <c r="AC617" s="776"/>
      <c r="AD617" s="776"/>
      <c r="AE617" s="776"/>
      <c r="AF617" s="776"/>
      <c r="AG617" s="776"/>
      <c r="AH617" s="776"/>
      <c r="AI617" s="776"/>
      <c r="AJ617" s="776"/>
      <c r="AK617" s="776"/>
      <c r="AL617" s="776"/>
      <c r="AM617" s="776"/>
      <c r="AN617" s="776"/>
      <c r="AO617" s="776"/>
      <c r="AP617" s="776"/>
      <c r="AQ617" s="776"/>
      <c r="AR617" s="776"/>
      <c r="AT617" s="111"/>
    </row>
    <row r="618" spans="1:46" s="110" customFormat="1" hidden="1" x14ac:dyDescent="0.3">
      <c r="A618" s="116"/>
      <c r="C618" s="1"/>
      <c r="D618" s="1"/>
      <c r="E618" s="11"/>
      <c r="F618" s="3"/>
      <c r="G618" s="1"/>
      <c r="H618" s="1"/>
      <c r="I618" s="1"/>
      <c r="J618" s="214"/>
      <c r="L618" s="776"/>
      <c r="M618" s="776"/>
      <c r="N618" s="776"/>
      <c r="O618" s="776"/>
      <c r="P618" s="776"/>
      <c r="Q618" s="776"/>
      <c r="R618" s="776"/>
      <c r="S618" s="776"/>
      <c r="T618" s="776"/>
      <c r="U618" s="776"/>
      <c r="V618" s="776"/>
      <c r="W618" s="776"/>
      <c r="X618" s="776"/>
      <c r="Y618" s="776"/>
      <c r="Z618" s="776"/>
      <c r="AA618" s="776"/>
      <c r="AB618" s="776"/>
      <c r="AC618" s="776"/>
      <c r="AD618" s="776"/>
      <c r="AE618" s="776"/>
      <c r="AF618" s="776"/>
      <c r="AG618" s="776"/>
      <c r="AH618" s="776"/>
      <c r="AI618" s="776"/>
      <c r="AJ618" s="776"/>
      <c r="AK618" s="776"/>
      <c r="AL618" s="776"/>
      <c r="AM618" s="776"/>
      <c r="AN618" s="776"/>
      <c r="AO618" s="776"/>
      <c r="AP618" s="776"/>
      <c r="AQ618" s="776"/>
      <c r="AR618" s="776"/>
      <c r="AT618" s="111"/>
    </row>
    <row r="619" spans="1:46" s="110" customFormat="1" hidden="1" x14ac:dyDescent="0.3">
      <c r="A619" s="116"/>
      <c r="C619" s="1"/>
      <c r="D619" s="1"/>
      <c r="E619" s="11"/>
      <c r="F619" s="1"/>
      <c r="G619" s="1"/>
      <c r="H619" s="1"/>
      <c r="I619" s="1"/>
      <c r="J619" s="214"/>
      <c r="L619" s="776"/>
      <c r="M619" s="776"/>
      <c r="N619" s="776"/>
      <c r="O619" s="776"/>
      <c r="P619" s="776"/>
      <c r="Q619" s="776"/>
      <c r="R619" s="776"/>
      <c r="S619" s="776"/>
      <c r="T619" s="776"/>
      <c r="U619" s="776"/>
      <c r="V619" s="776"/>
      <c r="W619" s="776"/>
      <c r="X619" s="776"/>
      <c r="Y619" s="776"/>
      <c r="Z619" s="776"/>
      <c r="AA619" s="776"/>
      <c r="AB619" s="776"/>
      <c r="AC619" s="776"/>
      <c r="AD619" s="776"/>
      <c r="AE619" s="776"/>
      <c r="AF619" s="776"/>
      <c r="AG619" s="776"/>
      <c r="AH619" s="776"/>
      <c r="AI619" s="776"/>
      <c r="AJ619" s="776"/>
      <c r="AK619" s="776"/>
      <c r="AL619" s="776"/>
      <c r="AM619" s="776"/>
      <c r="AN619" s="776"/>
      <c r="AO619" s="776"/>
      <c r="AP619" s="776"/>
      <c r="AQ619" s="776"/>
      <c r="AR619" s="776"/>
      <c r="AT619" s="111"/>
    </row>
    <row r="620" spans="1:46" s="110" customFormat="1" ht="4.5" customHeight="1" x14ac:dyDescent="0.3">
      <c r="A620" s="116"/>
      <c r="C620" s="1"/>
      <c r="D620" s="39"/>
      <c r="E620" s="44"/>
      <c r="F620" s="39"/>
      <c r="G620" s="39"/>
      <c r="H620" s="39"/>
      <c r="I620" s="39"/>
      <c r="J620" s="218"/>
      <c r="AT620" s="111"/>
    </row>
    <row r="621" spans="1:46" s="110" customFormat="1" ht="28.5" customHeight="1" x14ac:dyDescent="0.3">
      <c r="A621" s="116" t="s">
        <v>1407</v>
      </c>
      <c r="L621" s="776" t="str">
        <f>IF(calculations!B3=3,"Staff besides the driver is on the vehicle but the programmatic staff-to-child ratio is not maintained during transport.","")</f>
        <v/>
      </c>
      <c r="M621" s="776"/>
      <c r="N621" s="776"/>
      <c r="O621" s="776"/>
      <c r="P621" s="776"/>
      <c r="Q621" s="776"/>
      <c r="R621" s="776"/>
      <c r="S621" s="776"/>
      <c r="T621" s="776"/>
      <c r="U621" s="776"/>
      <c r="V621" s="776"/>
      <c r="W621" s="776"/>
      <c r="X621" s="776"/>
      <c r="Y621" s="776"/>
      <c r="Z621" s="776"/>
      <c r="AA621" s="776"/>
      <c r="AB621" s="776"/>
      <c r="AC621" s="776"/>
      <c r="AD621" s="776"/>
      <c r="AE621" s="776"/>
      <c r="AF621" s="776"/>
      <c r="AG621" s="776"/>
      <c r="AH621" s="776"/>
      <c r="AI621" s="776"/>
      <c r="AJ621" s="776"/>
      <c r="AK621" s="776"/>
      <c r="AL621" s="776"/>
      <c r="AM621" s="776"/>
      <c r="AN621" s="776"/>
      <c r="AO621" s="776"/>
      <c r="AP621" s="776"/>
      <c r="AQ621" s="776"/>
      <c r="AR621" s="776"/>
      <c r="AT621" s="111"/>
    </row>
    <row r="622" spans="1:46" s="110" customFormat="1" hidden="1" x14ac:dyDescent="0.3">
      <c r="A622" s="116"/>
      <c r="E622" s="115"/>
      <c r="L622" s="776"/>
      <c r="M622" s="776"/>
      <c r="N622" s="776"/>
      <c r="O622" s="776"/>
      <c r="P622" s="776"/>
      <c r="Q622" s="776"/>
      <c r="R622" s="776"/>
      <c r="S622" s="776"/>
      <c r="T622" s="776"/>
      <c r="U622" s="776"/>
      <c r="V622" s="776"/>
      <c r="W622" s="776"/>
      <c r="X622" s="776"/>
      <c r="Y622" s="776"/>
      <c r="Z622" s="776"/>
      <c r="AA622" s="776"/>
      <c r="AB622" s="776"/>
      <c r="AC622" s="776"/>
      <c r="AD622" s="776"/>
      <c r="AE622" s="776"/>
      <c r="AF622" s="776"/>
      <c r="AG622" s="776"/>
      <c r="AH622" s="776"/>
      <c r="AI622" s="776"/>
      <c r="AJ622" s="776"/>
      <c r="AK622" s="776"/>
      <c r="AL622" s="776"/>
      <c r="AM622" s="776"/>
      <c r="AN622" s="776"/>
      <c r="AO622" s="776"/>
      <c r="AP622" s="776"/>
      <c r="AQ622" s="776"/>
      <c r="AR622" s="776"/>
      <c r="AT622" s="111"/>
    </row>
    <row r="623" spans="1:46" s="110" customFormat="1" hidden="1" x14ac:dyDescent="0.3">
      <c r="A623" s="116"/>
      <c r="E623" s="115"/>
      <c r="L623" s="776"/>
      <c r="M623" s="776"/>
      <c r="N623" s="776"/>
      <c r="O623" s="776"/>
      <c r="P623" s="776"/>
      <c r="Q623" s="776"/>
      <c r="R623" s="776"/>
      <c r="S623" s="776"/>
      <c r="T623" s="776"/>
      <c r="U623" s="776"/>
      <c r="V623" s="776"/>
      <c r="W623" s="776"/>
      <c r="X623" s="776"/>
      <c r="Y623" s="776"/>
      <c r="Z623" s="776"/>
      <c r="AA623" s="776"/>
      <c r="AB623" s="776"/>
      <c r="AC623" s="776"/>
      <c r="AD623" s="776"/>
      <c r="AE623" s="776"/>
      <c r="AF623" s="776"/>
      <c r="AG623" s="776"/>
      <c r="AH623" s="776"/>
      <c r="AI623" s="776"/>
      <c r="AJ623" s="776"/>
      <c r="AK623" s="776"/>
      <c r="AL623" s="776"/>
      <c r="AM623" s="776"/>
      <c r="AN623" s="776"/>
      <c r="AO623" s="776"/>
      <c r="AP623" s="776"/>
      <c r="AQ623" s="776"/>
      <c r="AR623" s="776"/>
      <c r="AT623" s="111"/>
    </row>
    <row r="624" spans="1:46" s="110" customFormat="1" ht="4.5" customHeight="1" x14ac:dyDescent="0.3">
      <c r="A624" s="116"/>
      <c r="E624" s="115"/>
      <c r="AT624" s="111"/>
    </row>
    <row r="625" spans="1:46" s="110" customFormat="1" ht="28.5" customHeight="1" x14ac:dyDescent="0.3">
      <c r="A625" s="116" t="s">
        <v>1831</v>
      </c>
      <c r="E625" s="118"/>
      <c r="F625" s="127"/>
      <c r="L625" s="776" t="str">
        <f>IF(calculations!B3=3,"The only staff member in the vehicle may be the driver…i.e., no staff is available for active supervision of the children when the vehicle is moving.","")</f>
        <v/>
      </c>
      <c r="M625" s="776"/>
      <c r="N625" s="776"/>
      <c r="O625" s="776"/>
      <c r="P625" s="776"/>
      <c r="Q625" s="776"/>
      <c r="R625" s="776"/>
      <c r="S625" s="776"/>
      <c r="T625" s="776"/>
      <c r="U625" s="776"/>
      <c r="V625" s="776"/>
      <c r="W625" s="776"/>
      <c r="X625" s="776"/>
      <c r="Y625" s="776"/>
      <c r="Z625" s="776"/>
      <c r="AA625" s="776"/>
      <c r="AB625" s="776"/>
      <c r="AC625" s="776"/>
      <c r="AD625" s="776"/>
      <c r="AE625" s="776"/>
      <c r="AF625" s="776"/>
      <c r="AG625" s="776"/>
      <c r="AH625" s="776"/>
      <c r="AI625" s="776"/>
      <c r="AJ625" s="776"/>
      <c r="AK625" s="776"/>
      <c r="AL625" s="776"/>
      <c r="AM625" s="776"/>
      <c r="AN625" s="776"/>
      <c r="AO625" s="776"/>
      <c r="AP625" s="776"/>
      <c r="AQ625" s="776"/>
      <c r="AR625" s="776"/>
      <c r="AT625" s="111"/>
    </row>
    <row r="626" spans="1:46" s="110" customFormat="1" ht="4.5" customHeight="1" x14ac:dyDescent="0.3">
      <c r="A626" s="116"/>
      <c r="E626" s="115"/>
      <c r="AT626" s="111"/>
    </row>
    <row r="627" spans="1:46" s="110" customFormat="1" x14ac:dyDescent="0.3">
      <c r="A627" s="116"/>
      <c r="E627" s="115"/>
      <c r="F627" s="116" t="str">
        <f>IF(calculations!B3=3,"COMMENTS","")</f>
        <v/>
      </c>
      <c r="J627" s="777" t="str">
        <f>IF(calculations!M183,"describe corrective action proposed to correct any Red Flag or Yellow Flag ranking",IF(calculations!N183,"describe corrective action proposed to correct any Red Flag or Yellow Flag ranking",""))</f>
        <v/>
      </c>
      <c r="K627" s="778"/>
      <c r="L627" s="778"/>
      <c r="M627" s="778"/>
      <c r="N627" s="778"/>
      <c r="O627" s="778"/>
      <c r="P627" s="778"/>
      <c r="Q627" s="778"/>
      <c r="R627" s="778"/>
      <c r="S627" s="778"/>
      <c r="T627" s="778"/>
      <c r="U627" s="778"/>
      <c r="V627" s="778"/>
      <c r="W627" s="778"/>
      <c r="X627" s="778"/>
      <c r="Y627" s="778"/>
      <c r="Z627" s="778"/>
      <c r="AA627" s="778"/>
      <c r="AB627" s="778"/>
      <c r="AC627" s="778"/>
      <c r="AD627" s="778"/>
      <c r="AE627" s="778"/>
      <c r="AF627" s="778"/>
      <c r="AG627" s="778"/>
      <c r="AH627" s="778"/>
      <c r="AI627" s="778"/>
      <c r="AJ627" s="778"/>
      <c r="AK627" s="778"/>
      <c r="AL627" s="778"/>
      <c r="AM627" s="778"/>
      <c r="AN627" s="778"/>
      <c r="AO627" s="778"/>
      <c r="AP627" s="778"/>
      <c r="AQ627" s="778"/>
      <c r="AR627" s="779"/>
      <c r="AT627" s="111"/>
    </row>
    <row r="628" spans="1:46" s="110" customFormat="1" ht="4.5" customHeight="1" x14ac:dyDescent="0.3">
      <c r="A628" s="116"/>
      <c r="E628" s="115"/>
      <c r="F628" s="11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T628" s="111"/>
    </row>
    <row r="629" spans="1:46" s="110" customFormat="1" ht="27" customHeight="1" x14ac:dyDescent="0.3">
      <c r="A629" s="116"/>
      <c r="E629" s="115"/>
      <c r="F629" s="114" t="str">
        <f>IF(J629&gt;"","RECS","")</f>
        <v/>
      </c>
      <c r="J629" s="755" t="str">
        <f>IF(calculations!M183,Rec!D227,IF(calculations!N183,Rec!D227,""))</f>
        <v/>
      </c>
      <c r="K629" s="756"/>
      <c r="L629" s="756"/>
      <c r="M629" s="756"/>
      <c r="N629" s="756"/>
      <c r="O629" s="756"/>
      <c r="P629" s="756"/>
      <c r="Q629" s="756"/>
      <c r="R629" s="756"/>
      <c r="S629" s="756"/>
      <c r="T629" s="756"/>
      <c r="U629" s="756"/>
      <c r="V629" s="756"/>
      <c r="W629" s="756"/>
      <c r="X629" s="756"/>
      <c r="Y629" s="756"/>
      <c r="Z629" s="756"/>
      <c r="AA629" s="756"/>
      <c r="AB629" s="756"/>
      <c r="AC629" s="756"/>
      <c r="AD629" s="756"/>
      <c r="AE629" s="756"/>
      <c r="AF629" s="756"/>
      <c r="AG629" s="756"/>
      <c r="AH629" s="756"/>
      <c r="AI629" s="756"/>
      <c r="AJ629" s="756"/>
      <c r="AK629" s="756"/>
      <c r="AL629" s="756"/>
      <c r="AM629" s="756"/>
      <c r="AN629" s="756"/>
      <c r="AO629" s="756"/>
      <c r="AP629" s="756"/>
      <c r="AQ629" s="756"/>
      <c r="AR629" s="757"/>
      <c r="AT629" s="111"/>
    </row>
    <row r="630" spans="1:46" s="110" customFormat="1" x14ac:dyDescent="0.3">
      <c r="A630" s="116"/>
      <c r="E630" s="115"/>
      <c r="F630" s="112"/>
      <c r="G630" s="129"/>
      <c r="AT630" s="111"/>
    </row>
    <row r="631" spans="1:46" s="110" customFormat="1" ht="26.25" customHeight="1" x14ac:dyDescent="0.3">
      <c r="A631" s="285" t="str">
        <f>IF(calculations!B3=3,"8","")</f>
        <v/>
      </c>
      <c r="B631" s="785" t="str">
        <f>IF(calculations!B3=3,"    TRANSPORTATION","")</f>
        <v/>
      </c>
      <c r="C631" s="785"/>
      <c r="D631" s="785"/>
      <c r="E631" s="785"/>
      <c r="F631" s="785"/>
      <c r="G631" s="785"/>
      <c r="H631" s="785"/>
      <c r="I631" s="785"/>
      <c r="J631" s="785"/>
      <c r="K631" s="785"/>
      <c r="L631" s="785"/>
      <c r="M631" s="785"/>
      <c r="N631" s="785"/>
      <c r="O631" s="785"/>
      <c r="P631" s="785"/>
      <c r="Q631" s="785"/>
      <c r="R631" s="785"/>
      <c r="S631" s="785"/>
      <c r="T631" s="785"/>
      <c r="U631" s="785"/>
      <c r="V631" s="785"/>
      <c r="W631" s="785"/>
      <c r="X631" s="785"/>
      <c r="Y631" s="785"/>
      <c r="Z631" s="785"/>
      <c r="AA631" s="785"/>
      <c r="AB631" s="785"/>
      <c r="AC631" s="785"/>
      <c r="AD631" s="785"/>
      <c r="AE631" s="785"/>
      <c r="AF631" s="785"/>
      <c r="AG631" s="785"/>
      <c r="AH631" s="785"/>
      <c r="AI631" s="785"/>
      <c r="AJ631" s="785"/>
      <c r="AK631" s="785"/>
      <c r="AL631" s="785"/>
      <c r="AM631" s="785"/>
      <c r="AN631" s="785"/>
      <c r="AO631" s="785"/>
      <c r="AP631" s="785"/>
      <c r="AQ631" s="785"/>
      <c r="AR631" s="785"/>
      <c r="AS631" s="125"/>
      <c r="AT631" s="111"/>
    </row>
    <row r="632" spans="1:46" s="110" customFormat="1" x14ac:dyDescent="0.3">
      <c r="A632" s="116"/>
      <c r="E632" s="115"/>
      <c r="AC632" s="691" t="str">
        <f>IF(calculations!B3=3,"GO TO TOP","")</f>
        <v/>
      </c>
      <c r="AD632" s="692"/>
      <c r="AE632" s="692"/>
      <c r="AF632" s="692"/>
      <c r="AG632" s="692"/>
      <c r="AH632" s="693"/>
      <c r="AJ632" s="691" t="str">
        <f>IF(calculations!B3=3,"UP ONE SECTION","")</f>
        <v/>
      </c>
      <c r="AK632" s="692"/>
      <c r="AL632" s="692"/>
      <c r="AM632" s="692"/>
      <c r="AN632" s="692"/>
      <c r="AO632" s="692"/>
      <c r="AP632" s="692"/>
      <c r="AQ632" s="692"/>
      <c r="AR632" s="693"/>
      <c r="AS632" s="125"/>
      <c r="AT632" s="111"/>
    </row>
    <row r="633" spans="1:46" s="110" customFormat="1" x14ac:dyDescent="0.3">
      <c r="A633" s="116"/>
      <c r="U633" s="123"/>
      <c r="AJ633" s="745" t="str">
        <f>IF(calculations!B3=3,"DOWN ONE SECTION","")</f>
        <v/>
      </c>
      <c r="AK633" s="746"/>
      <c r="AL633" s="746"/>
      <c r="AM633" s="746"/>
      <c r="AN633" s="746"/>
      <c r="AO633" s="746"/>
      <c r="AP633" s="746"/>
      <c r="AQ633" s="746"/>
      <c r="AR633" s="747"/>
      <c r="AS633" s="125"/>
      <c r="AT633" s="111"/>
    </row>
    <row r="634" spans="1:46" x14ac:dyDescent="0.3">
      <c r="B634" s="110"/>
      <c r="C634" s="110"/>
      <c r="D634" s="110"/>
      <c r="E634" s="115"/>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25"/>
    </row>
    <row r="635" spans="1:46" ht="14.15" x14ac:dyDescent="0.35">
      <c r="A635" s="286" t="s">
        <v>1408</v>
      </c>
      <c r="B635" s="110"/>
      <c r="C635" s="110"/>
      <c r="D635" s="120" t="str">
        <f>IF(calculations!B3=3,"DRIVER EXPERIENCE &amp; QUALIFICATION","")</f>
        <v/>
      </c>
      <c r="E635" s="115"/>
      <c r="F635" s="110"/>
      <c r="G635" s="110"/>
      <c r="H635" s="110"/>
      <c r="I635" s="110"/>
      <c r="J635" s="110"/>
      <c r="K635" s="110"/>
      <c r="L635" s="110"/>
      <c r="M635" s="110"/>
      <c r="N635" s="110"/>
      <c r="O635" s="110"/>
      <c r="P635" s="110"/>
      <c r="Q635" s="110"/>
      <c r="R635" s="110"/>
      <c r="S635" s="110"/>
      <c r="T635" s="110"/>
      <c r="U635" s="145" t="str">
        <f>IF(calculations!B3=3," - FOR ALL DRIVERS OF OWNED VEHICLES, INCLUDING VOLUNTEERS","")</f>
        <v/>
      </c>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25"/>
    </row>
    <row r="636" spans="1:46" ht="4.5" customHeight="1" x14ac:dyDescent="0.3">
      <c r="A636" s="116"/>
      <c r="B636" s="110"/>
      <c r="C636" s="110"/>
      <c r="D636" s="110"/>
      <c r="E636" s="115"/>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25"/>
    </row>
    <row r="637" spans="1:46" ht="12.75" customHeight="1" x14ac:dyDescent="0.3">
      <c r="A637" s="116" t="s">
        <v>1409</v>
      </c>
      <c r="B637" s="110"/>
      <c r="C637" s="1"/>
      <c r="D637" s="31"/>
      <c r="E637" s="32"/>
      <c r="F637" s="33"/>
      <c r="G637" s="31"/>
      <c r="H637" s="31"/>
      <c r="I637" s="31"/>
      <c r="J637" s="215"/>
      <c r="K637" s="241"/>
      <c r="L637" s="775" t="str">
        <f>IF(calculations!B3=3,"There are no owned or leased vehicles and never any borrowed, rented, or hired vehicles.","")</f>
        <v/>
      </c>
      <c r="M637" s="775"/>
      <c r="N637" s="775"/>
      <c r="O637" s="775"/>
      <c r="P637" s="775"/>
      <c r="Q637" s="775"/>
      <c r="R637" s="775"/>
      <c r="S637" s="775"/>
      <c r="T637" s="775"/>
      <c r="U637" s="775"/>
      <c r="V637" s="775"/>
      <c r="W637" s="775"/>
      <c r="X637" s="775"/>
      <c r="Y637" s="775"/>
      <c r="Z637" s="775"/>
      <c r="AA637" s="775"/>
      <c r="AB637" s="775"/>
      <c r="AC637" s="775"/>
      <c r="AD637" s="775"/>
      <c r="AE637" s="775"/>
      <c r="AF637" s="775"/>
      <c r="AG637" s="775"/>
      <c r="AH637" s="775"/>
      <c r="AI637" s="775"/>
      <c r="AJ637" s="775"/>
      <c r="AK637" s="775"/>
      <c r="AL637" s="775"/>
      <c r="AM637" s="775"/>
      <c r="AN637" s="775"/>
      <c r="AO637" s="775"/>
      <c r="AP637" s="775"/>
      <c r="AQ637" s="775"/>
      <c r="AR637" s="775"/>
      <c r="AS637" s="125"/>
    </row>
    <row r="638" spans="1:46" ht="4.5" customHeight="1" x14ac:dyDescent="0.3">
      <c r="A638" s="116"/>
      <c r="B638" s="110"/>
      <c r="C638" s="1"/>
      <c r="D638" s="31"/>
      <c r="E638" s="34"/>
      <c r="F638" s="31"/>
      <c r="G638" s="31"/>
      <c r="H638" s="31"/>
      <c r="I638" s="31"/>
      <c r="J638" s="215"/>
      <c r="K638" s="241"/>
      <c r="L638" s="241"/>
      <c r="M638" s="241"/>
      <c r="N638" s="241"/>
      <c r="O638" s="241"/>
      <c r="P638" s="241"/>
      <c r="Q638" s="241"/>
      <c r="R638" s="241"/>
      <c r="S638" s="241"/>
      <c r="T638" s="241"/>
      <c r="U638" s="241"/>
      <c r="V638" s="241"/>
      <c r="W638" s="241"/>
      <c r="X638" s="241"/>
      <c r="Y638" s="241"/>
      <c r="Z638" s="241"/>
      <c r="AA638" s="241"/>
      <c r="AB638" s="241"/>
      <c r="AC638" s="241"/>
      <c r="AD638" s="241"/>
      <c r="AE638" s="241"/>
      <c r="AF638" s="241"/>
      <c r="AG638" s="241"/>
      <c r="AH638" s="241"/>
      <c r="AI638" s="241"/>
      <c r="AJ638" s="241"/>
      <c r="AK638" s="241"/>
      <c r="AL638" s="241"/>
      <c r="AM638" s="241"/>
      <c r="AN638" s="241"/>
      <c r="AO638" s="241"/>
      <c r="AP638" s="241"/>
      <c r="AQ638" s="241"/>
      <c r="AR638" s="241"/>
      <c r="AS638" s="125"/>
    </row>
    <row r="639" spans="1:46" ht="39" customHeight="1" x14ac:dyDescent="0.3">
      <c r="A639" s="116" t="s">
        <v>1410</v>
      </c>
      <c r="B639" s="110"/>
      <c r="C639" s="1"/>
      <c r="D639" s="31"/>
      <c r="E639" s="32"/>
      <c r="F639" s="33"/>
      <c r="G639" s="31"/>
      <c r="H639" s="31"/>
      <c r="I639" s="31"/>
      <c r="J639" s="215"/>
      <c r="K639" s="241"/>
      <c r="L639" s="775" t="str">
        <f>IF(calculations!B3=3,"1) The minimum age is 21 with at least 3 years of driving experience. 
2) Initial and annual MVRs are evaluated using criteria equal to or greater than the good standard cited in RMA Driver Selection &amp; Control.","")</f>
        <v/>
      </c>
      <c r="M639" s="775"/>
      <c r="N639" s="775"/>
      <c r="O639" s="775"/>
      <c r="P639" s="775"/>
      <c r="Q639" s="775"/>
      <c r="R639" s="775"/>
      <c r="S639" s="775"/>
      <c r="T639" s="775"/>
      <c r="U639" s="775"/>
      <c r="V639" s="775"/>
      <c r="W639" s="775"/>
      <c r="X639" s="775"/>
      <c r="Y639" s="775"/>
      <c r="Z639" s="775"/>
      <c r="AA639" s="775"/>
      <c r="AB639" s="775"/>
      <c r="AC639" s="775"/>
      <c r="AD639" s="775"/>
      <c r="AE639" s="775"/>
      <c r="AF639" s="775"/>
      <c r="AG639" s="775"/>
      <c r="AH639" s="775"/>
      <c r="AI639" s="775"/>
      <c r="AJ639" s="775"/>
      <c r="AK639" s="775"/>
      <c r="AL639" s="775"/>
      <c r="AM639" s="775"/>
      <c r="AN639" s="775"/>
      <c r="AO639" s="775"/>
      <c r="AP639" s="775"/>
      <c r="AQ639" s="775"/>
      <c r="AR639" s="775"/>
      <c r="AS639" s="125"/>
    </row>
    <row r="640" spans="1:46" ht="4.5" customHeight="1" x14ac:dyDescent="0.3">
      <c r="A640" s="116"/>
      <c r="B640" s="110"/>
      <c r="C640" s="1"/>
      <c r="D640" s="31"/>
      <c r="E640" s="32"/>
      <c r="F640" s="33"/>
      <c r="G640" s="31"/>
      <c r="H640" s="31"/>
      <c r="I640" s="31"/>
      <c r="J640" s="215"/>
      <c r="K640" s="241"/>
      <c r="L640" s="241"/>
      <c r="M640" s="241"/>
      <c r="N640" s="241"/>
      <c r="O640" s="241"/>
      <c r="P640" s="241"/>
      <c r="Q640" s="241"/>
      <c r="R640" s="241"/>
      <c r="S640" s="241"/>
      <c r="T640" s="241"/>
      <c r="U640" s="241"/>
      <c r="V640" s="241"/>
      <c r="W640" s="241"/>
      <c r="X640" s="241"/>
      <c r="Y640" s="241"/>
      <c r="Z640" s="241"/>
      <c r="AA640" s="241"/>
      <c r="AB640" s="241"/>
      <c r="AC640" s="241"/>
      <c r="AD640" s="241"/>
      <c r="AE640" s="241"/>
      <c r="AF640" s="241"/>
      <c r="AG640" s="241"/>
      <c r="AH640" s="241"/>
      <c r="AI640" s="241"/>
      <c r="AJ640" s="241"/>
      <c r="AK640" s="241"/>
      <c r="AL640" s="241"/>
      <c r="AM640" s="241"/>
      <c r="AN640" s="241"/>
      <c r="AO640" s="241"/>
      <c r="AP640" s="241"/>
      <c r="AQ640" s="241"/>
      <c r="AR640" s="241"/>
      <c r="AS640" s="125"/>
    </row>
    <row r="641" spans="1:46" ht="37.5" customHeight="1" x14ac:dyDescent="0.3">
      <c r="A641" s="116" t="s">
        <v>1411</v>
      </c>
      <c r="B641" s="110"/>
      <c r="C641" s="1"/>
      <c r="D641" s="31"/>
      <c r="E641" s="34"/>
      <c r="F641" s="31"/>
      <c r="G641" s="31"/>
      <c r="H641" s="31"/>
      <c r="I641" s="31"/>
      <c r="J641" s="215"/>
      <c r="K641" s="241"/>
      <c r="L641" s="775" t="str">
        <f>IF(calculations!B3=3,"1) The minimum age is 21 with at least 3 years of driving experience. 
2) Current MVRs are evaluated initially and at least every 3 years thereafter using criteria equal to or greater than the adequate standard cited in RMA Driver Selection &amp; Control.","")</f>
        <v/>
      </c>
      <c r="M641" s="775"/>
      <c r="N641" s="775"/>
      <c r="O641" s="775"/>
      <c r="P641" s="775"/>
      <c r="Q641" s="775"/>
      <c r="R641" s="775"/>
      <c r="S641" s="775"/>
      <c r="T641" s="775"/>
      <c r="U641" s="775"/>
      <c r="V641" s="775"/>
      <c r="W641" s="775"/>
      <c r="X641" s="775"/>
      <c r="Y641" s="775"/>
      <c r="Z641" s="775"/>
      <c r="AA641" s="775"/>
      <c r="AB641" s="775"/>
      <c r="AC641" s="775"/>
      <c r="AD641" s="775"/>
      <c r="AE641" s="775"/>
      <c r="AF641" s="775"/>
      <c r="AG641" s="775"/>
      <c r="AH641" s="775"/>
      <c r="AI641" s="775"/>
      <c r="AJ641" s="775"/>
      <c r="AK641" s="775"/>
      <c r="AL641" s="775"/>
      <c r="AM641" s="775"/>
      <c r="AN641" s="775"/>
      <c r="AO641" s="775"/>
      <c r="AP641" s="775"/>
      <c r="AQ641" s="775"/>
      <c r="AR641" s="775"/>
      <c r="AS641" s="125"/>
    </row>
    <row r="642" spans="1:46" ht="4.5" customHeight="1" x14ac:dyDescent="0.3">
      <c r="A642" s="116"/>
      <c r="B642" s="110"/>
      <c r="C642" s="1"/>
      <c r="D642" s="31"/>
      <c r="E642" s="34"/>
      <c r="F642" s="31"/>
      <c r="G642" s="31"/>
      <c r="H642" s="31"/>
      <c r="I642" s="31"/>
      <c r="J642" s="215"/>
      <c r="K642" s="241"/>
      <c r="L642" s="241"/>
      <c r="M642" s="241"/>
      <c r="N642" s="241"/>
      <c r="O642" s="241"/>
      <c r="P642" s="241"/>
      <c r="Q642" s="241"/>
      <c r="R642" s="241"/>
      <c r="S642" s="241"/>
      <c r="T642" s="241"/>
      <c r="U642" s="241"/>
      <c r="V642" s="241"/>
      <c r="W642" s="241"/>
      <c r="X642" s="241"/>
      <c r="Y642" s="241"/>
      <c r="Z642" s="241"/>
      <c r="AA642" s="241"/>
      <c r="AB642" s="241"/>
      <c r="AC642" s="241"/>
      <c r="AD642" s="241"/>
      <c r="AE642" s="241"/>
      <c r="AF642" s="241"/>
      <c r="AG642" s="241"/>
      <c r="AH642" s="241"/>
      <c r="AI642" s="241"/>
      <c r="AJ642" s="241"/>
      <c r="AK642" s="241"/>
      <c r="AL642" s="241"/>
      <c r="AM642" s="241"/>
      <c r="AN642" s="241"/>
      <c r="AO642" s="241"/>
      <c r="AP642" s="241"/>
      <c r="AQ642" s="241"/>
      <c r="AR642" s="241"/>
      <c r="AS642" s="125"/>
    </row>
    <row r="643" spans="1:46" ht="27" customHeight="1" x14ac:dyDescent="0.3">
      <c r="A643" s="116" t="s">
        <v>1412</v>
      </c>
      <c r="B643" s="110"/>
      <c r="C643" s="1"/>
      <c r="D643" s="31"/>
      <c r="E643" s="32"/>
      <c r="F643" s="33"/>
      <c r="G643" s="31"/>
      <c r="H643" s="31"/>
      <c r="I643" s="31"/>
      <c r="J643" s="215"/>
      <c r="K643" s="241"/>
      <c r="L643" s="775" t="str">
        <f>IF(calculations!B3=3,"1) The minimum driver age is 20 with at least 2 years of driving experience. 
2) A current MVR is evaluated at time of hire or job change using acceptable criteria.","")</f>
        <v/>
      </c>
      <c r="M643" s="775"/>
      <c r="N643" s="775"/>
      <c r="O643" s="775"/>
      <c r="P643" s="775"/>
      <c r="Q643" s="775"/>
      <c r="R643" s="775"/>
      <c r="S643" s="775"/>
      <c r="T643" s="775"/>
      <c r="U643" s="775"/>
      <c r="V643" s="775"/>
      <c r="W643" s="775"/>
      <c r="X643" s="775"/>
      <c r="Y643" s="775"/>
      <c r="Z643" s="775"/>
      <c r="AA643" s="775"/>
      <c r="AB643" s="775"/>
      <c r="AC643" s="775"/>
      <c r="AD643" s="775"/>
      <c r="AE643" s="775"/>
      <c r="AF643" s="775"/>
      <c r="AG643" s="775"/>
      <c r="AH643" s="775"/>
      <c r="AI643" s="775"/>
      <c r="AJ643" s="775"/>
      <c r="AK643" s="775"/>
      <c r="AL643" s="775"/>
      <c r="AM643" s="775"/>
      <c r="AN643" s="775"/>
      <c r="AO643" s="775"/>
      <c r="AP643" s="775"/>
      <c r="AQ643" s="775"/>
      <c r="AR643" s="775"/>
      <c r="AS643" s="125"/>
    </row>
    <row r="644" spans="1:46" ht="4.5" customHeight="1" x14ac:dyDescent="0.3">
      <c r="A644" s="116"/>
      <c r="B644" s="110"/>
      <c r="C644" s="1"/>
      <c r="D644" s="1"/>
      <c r="E644" s="35"/>
      <c r="F644" s="1"/>
      <c r="G644" s="1"/>
      <c r="H644" s="1"/>
      <c r="I644" s="1"/>
      <c r="J644" s="214"/>
      <c r="K644" s="241"/>
      <c r="L644" s="241"/>
      <c r="M644" s="241"/>
      <c r="N644" s="241"/>
      <c r="O644" s="241"/>
      <c r="P644" s="241"/>
      <c r="Q644" s="241"/>
      <c r="R644" s="241"/>
      <c r="S644" s="241"/>
      <c r="T644" s="241"/>
      <c r="U644" s="241"/>
      <c r="V644" s="241"/>
      <c r="W644" s="241"/>
      <c r="X644" s="241"/>
      <c r="Y644" s="241"/>
      <c r="Z644" s="241"/>
      <c r="AA644" s="241"/>
      <c r="AB644" s="241"/>
      <c r="AC644" s="241"/>
      <c r="AD644" s="241"/>
      <c r="AE644" s="241"/>
      <c r="AF644" s="241"/>
      <c r="AG644" s="241"/>
      <c r="AH644" s="241"/>
      <c r="AI644" s="241"/>
      <c r="AJ644" s="241"/>
      <c r="AK644" s="241"/>
      <c r="AL644" s="241"/>
      <c r="AM644" s="241"/>
      <c r="AN644" s="241"/>
      <c r="AO644" s="241"/>
      <c r="AP644" s="241"/>
      <c r="AQ644" s="241"/>
      <c r="AR644" s="241"/>
      <c r="AS644" s="125"/>
    </row>
    <row r="645" spans="1:46" ht="24.75" customHeight="1" x14ac:dyDescent="0.3">
      <c r="A645" s="116" t="s">
        <v>1413</v>
      </c>
      <c r="B645" s="110"/>
      <c r="C645" s="1"/>
      <c r="D645" s="1"/>
      <c r="E645" s="11"/>
      <c r="F645" s="3"/>
      <c r="G645" s="1"/>
      <c r="H645" s="1"/>
      <c r="I645" s="1"/>
      <c r="J645" s="214"/>
      <c r="K645" s="241"/>
      <c r="L645" s="775" t="str">
        <f>IF(calculations!B3=3,"One or more of the following is true: minimum driver age is 19, there is no minimum driving experience requirement OR the MVR evaluation requirement is only for drivers who transport children.","")</f>
        <v/>
      </c>
      <c r="M645" s="775"/>
      <c r="N645" s="775"/>
      <c r="O645" s="775"/>
      <c r="P645" s="775"/>
      <c r="Q645" s="775"/>
      <c r="R645" s="775"/>
      <c r="S645" s="775"/>
      <c r="T645" s="775"/>
      <c r="U645" s="775"/>
      <c r="V645" s="775"/>
      <c r="W645" s="775"/>
      <c r="X645" s="775"/>
      <c r="Y645" s="775"/>
      <c r="Z645" s="775"/>
      <c r="AA645" s="775"/>
      <c r="AB645" s="775"/>
      <c r="AC645" s="775"/>
      <c r="AD645" s="775"/>
      <c r="AE645" s="775"/>
      <c r="AF645" s="775"/>
      <c r="AG645" s="775"/>
      <c r="AH645" s="775"/>
      <c r="AI645" s="775"/>
      <c r="AJ645" s="775"/>
      <c r="AK645" s="775"/>
      <c r="AL645" s="775"/>
      <c r="AM645" s="775"/>
      <c r="AN645" s="775"/>
      <c r="AO645" s="775"/>
      <c r="AP645" s="775"/>
      <c r="AQ645" s="775"/>
      <c r="AR645" s="775"/>
      <c r="AS645" s="125"/>
    </row>
    <row r="646" spans="1:46" ht="4.5" customHeight="1" x14ac:dyDescent="0.3">
      <c r="A646" s="116"/>
      <c r="B646" s="110"/>
      <c r="C646" s="1"/>
      <c r="D646" s="1"/>
      <c r="E646" s="11"/>
      <c r="F646" s="1"/>
      <c r="G646" s="1"/>
      <c r="H646" s="1"/>
      <c r="I646" s="1"/>
      <c r="J646" s="214"/>
      <c r="K646" s="241"/>
      <c r="L646" s="241"/>
      <c r="M646" s="241"/>
      <c r="N646" s="241"/>
      <c r="O646" s="241"/>
      <c r="P646" s="241"/>
      <c r="Q646" s="241"/>
      <c r="R646" s="241"/>
      <c r="S646" s="241"/>
      <c r="T646" s="241"/>
      <c r="U646" s="241"/>
      <c r="V646" s="241"/>
      <c r="W646" s="241"/>
      <c r="X646" s="241"/>
      <c r="Y646" s="241"/>
      <c r="Z646" s="241"/>
      <c r="AA646" s="241"/>
      <c r="AB646" s="241"/>
      <c r="AC646" s="241"/>
      <c r="AD646" s="241"/>
      <c r="AE646" s="241"/>
      <c r="AF646" s="241"/>
      <c r="AG646" s="241"/>
      <c r="AH646" s="241"/>
      <c r="AI646" s="241"/>
      <c r="AJ646" s="241"/>
      <c r="AK646" s="241"/>
      <c r="AL646" s="241"/>
      <c r="AM646" s="241"/>
      <c r="AN646" s="241"/>
      <c r="AO646" s="241"/>
      <c r="AP646" s="241"/>
      <c r="AQ646" s="241"/>
      <c r="AR646" s="241"/>
      <c r="AS646" s="125"/>
    </row>
    <row r="647" spans="1:46" ht="26.25" customHeight="1" x14ac:dyDescent="0.3">
      <c r="A647" s="116" t="s">
        <v>1821</v>
      </c>
      <c r="B647" s="110"/>
      <c r="C647" s="1"/>
      <c r="D647" s="39"/>
      <c r="E647" s="44"/>
      <c r="F647" s="39"/>
      <c r="G647" s="39"/>
      <c r="H647" s="39"/>
      <c r="I647" s="39"/>
      <c r="J647" s="218"/>
      <c r="K647" s="241"/>
      <c r="L647" s="775" t="str">
        <f>IF(calculations!B3=3,"One or more of the following is true: no age or driving experience requirements are established OR there is no MVR (motor vehicle record) evaluation process.","")</f>
        <v/>
      </c>
      <c r="M647" s="775"/>
      <c r="N647" s="775"/>
      <c r="O647" s="775"/>
      <c r="P647" s="775"/>
      <c r="Q647" s="775"/>
      <c r="R647" s="775"/>
      <c r="S647" s="775"/>
      <c r="T647" s="775"/>
      <c r="U647" s="775"/>
      <c r="V647" s="775"/>
      <c r="W647" s="775"/>
      <c r="X647" s="775"/>
      <c r="Y647" s="775"/>
      <c r="Z647" s="775"/>
      <c r="AA647" s="775"/>
      <c r="AB647" s="775"/>
      <c r="AC647" s="775"/>
      <c r="AD647" s="775"/>
      <c r="AE647" s="775"/>
      <c r="AF647" s="775"/>
      <c r="AG647" s="775"/>
      <c r="AH647" s="775"/>
      <c r="AI647" s="775"/>
      <c r="AJ647" s="775"/>
      <c r="AK647" s="775"/>
      <c r="AL647" s="775"/>
      <c r="AM647" s="775"/>
      <c r="AN647" s="775"/>
      <c r="AO647" s="775"/>
      <c r="AP647" s="775"/>
      <c r="AQ647" s="775"/>
      <c r="AR647" s="775"/>
      <c r="AS647" s="125"/>
    </row>
    <row r="648" spans="1:46" ht="4.5" customHeight="1" x14ac:dyDescent="0.3">
      <c r="A648" s="116"/>
      <c r="B648" s="110"/>
      <c r="C648" s="110"/>
      <c r="D648" s="110"/>
      <c r="E648" s="115"/>
      <c r="F648" s="110"/>
      <c r="G648" s="110"/>
      <c r="H648" s="110"/>
      <c r="I648" s="110"/>
      <c r="J648" s="241"/>
      <c r="K648" s="241"/>
      <c r="L648" s="241"/>
      <c r="M648" s="241"/>
      <c r="N648" s="241"/>
      <c r="O648" s="241"/>
      <c r="P648" s="241"/>
      <c r="Q648" s="241"/>
      <c r="R648" s="241"/>
      <c r="S648" s="241"/>
      <c r="T648" s="241"/>
      <c r="U648" s="241"/>
      <c r="V648" s="241"/>
      <c r="W648" s="241"/>
      <c r="X648" s="241"/>
      <c r="Y648" s="241"/>
      <c r="Z648" s="241"/>
      <c r="AA648" s="241"/>
      <c r="AB648" s="241"/>
      <c r="AC648" s="241"/>
      <c r="AD648" s="241"/>
      <c r="AE648" s="241"/>
      <c r="AF648" s="241"/>
      <c r="AG648" s="241"/>
      <c r="AH648" s="241"/>
      <c r="AI648" s="241"/>
      <c r="AJ648" s="241"/>
      <c r="AK648" s="241"/>
      <c r="AL648" s="241"/>
      <c r="AM648" s="241"/>
      <c r="AN648" s="241"/>
      <c r="AO648" s="241"/>
      <c r="AP648" s="241"/>
      <c r="AQ648" s="241"/>
      <c r="AR648" s="241"/>
      <c r="AS648" s="125"/>
    </row>
    <row r="649" spans="1:46" x14ac:dyDescent="0.3">
      <c r="A649" s="116"/>
      <c r="B649" s="110"/>
      <c r="C649" s="110"/>
      <c r="D649" s="110"/>
      <c r="E649" s="115"/>
      <c r="F649" s="116" t="str">
        <f>IF(calculations!B3=3,"COMMENTS","")</f>
        <v/>
      </c>
      <c r="G649" s="110"/>
      <c r="H649" s="110"/>
      <c r="I649" s="110"/>
      <c r="J649" s="755" t="str">
        <f>IF(calculations!M186,"describe corrective action proposed to correct any Red Flag or Yellow Flag ranking",IF(calculations!N186,"describe corrective action proposed to correct any Red Flag or Yellow Flag ranking",""))</f>
        <v/>
      </c>
      <c r="K649" s="756"/>
      <c r="L649" s="756"/>
      <c r="M649" s="756"/>
      <c r="N649" s="756"/>
      <c r="O649" s="756"/>
      <c r="P649" s="756"/>
      <c r="Q649" s="756"/>
      <c r="R649" s="756"/>
      <c r="S649" s="756"/>
      <c r="T649" s="756"/>
      <c r="U649" s="756"/>
      <c r="V649" s="756"/>
      <c r="W649" s="756"/>
      <c r="X649" s="756"/>
      <c r="Y649" s="756"/>
      <c r="Z649" s="756"/>
      <c r="AA649" s="756"/>
      <c r="AB649" s="756"/>
      <c r="AC649" s="756"/>
      <c r="AD649" s="756"/>
      <c r="AE649" s="756"/>
      <c r="AF649" s="756"/>
      <c r="AG649" s="756"/>
      <c r="AH649" s="756"/>
      <c r="AI649" s="756"/>
      <c r="AJ649" s="756"/>
      <c r="AK649" s="756"/>
      <c r="AL649" s="756"/>
      <c r="AM649" s="756"/>
      <c r="AN649" s="756"/>
      <c r="AO649" s="756"/>
      <c r="AP649" s="756"/>
      <c r="AQ649" s="756"/>
      <c r="AR649" s="757"/>
      <c r="AS649" s="125"/>
    </row>
    <row r="650" spans="1:46" ht="4.5" customHeight="1" x14ac:dyDescent="0.3">
      <c r="A650" s="116"/>
      <c r="B650" s="110"/>
      <c r="C650" s="110"/>
      <c r="D650" s="110"/>
      <c r="E650" s="115"/>
      <c r="F650" s="116"/>
      <c r="G650" s="110"/>
      <c r="H650" s="110"/>
      <c r="I650" s="110"/>
      <c r="J650" s="315"/>
      <c r="K650" s="315"/>
      <c r="L650" s="315"/>
      <c r="M650" s="315"/>
      <c r="N650" s="315"/>
      <c r="O650" s="315"/>
      <c r="P650" s="315"/>
      <c r="Q650" s="315"/>
      <c r="R650" s="315"/>
      <c r="S650" s="315"/>
      <c r="T650" s="315"/>
      <c r="U650" s="315"/>
      <c r="V650" s="315"/>
      <c r="W650" s="315"/>
      <c r="X650" s="315"/>
      <c r="Y650" s="315"/>
      <c r="Z650" s="315"/>
      <c r="AA650" s="315"/>
      <c r="AB650" s="315"/>
      <c r="AC650" s="315"/>
      <c r="AD650" s="315"/>
      <c r="AE650" s="315"/>
      <c r="AF650" s="315"/>
      <c r="AG650" s="315"/>
      <c r="AH650" s="315"/>
      <c r="AI650" s="315"/>
      <c r="AJ650" s="315"/>
      <c r="AK650" s="315"/>
      <c r="AL650" s="315"/>
      <c r="AM650" s="315"/>
      <c r="AN650" s="315"/>
      <c r="AO650" s="315"/>
      <c r="AP650" s="315"/>
      <c r="AQ650" s="315"/>
      <c r="AR650" s="315"/>
      <c r="AS650" s="125"/>
      <c r="AT650" s="110"/>
    </row>
    <row r="651" spans="1:46" ht="25.5" customHeight="1" x14ac:dyDescent="0.3">
      <c r="A651" s="116"/>
      <c r="B651" s="110"/>
      <c r="C651" s="110"/>
      <c r="D651" s="110"/>
      <c r="E651" s="115"/>
      <c r="F651" s="114" t="str">
        <f>IF(J651&gt;"","RECS","")</f>
        <v/>
      </c>
      <c r="G651" s="110"/>
      <c r="H651" s="110"/>
      <c r="I651" s="110"/>
      <c r="J651" s="755" t="str">
        <f>IF(calculations!M186,Rec!D229,IF(calculations!N186,Rec!D230,""))</f>
        <v/>
      </c>
      <c r="K651" s="756"/>
      <c r="L651" s="756"/>
      <c r="M651" s="756"/>
      <c r="N651" s="756"/>
      <c r="O651" s="756"/>
      <c r="P651" s="756"/>
      <c r="Q651" s="756"/>
      <c r="R651" s="756"/>
      <c r="S651" s="756"/>
      <c r="T651" s="756"/>
      <c r="U651" s="756"/>
      <c r="V651" s="756"/>
      <c r="W651" s="756"/>
      <c r="X651" s="756"/>
      <c r="Y651" s="756"/>
      <c r="Z651" s="756"/>
      <c r="AA651" s="756"/>
      <c r="AB651" s="756"/>
      <c r="AC651" s="756"/>
      <c r="AD651" s="756"/>
      <c r="AE651" s="756"/>
      <c r="AF651" s="756"/>
      <c r="AG651" s="756"/>
      <c r="AH651" s="756"/>
      <c r="AI651" s="756"/>
      <c r="AJ651" s="756"/>
      <c r="AK651" s="756"/>
      <c r="AL651" s="756"/>
      <c r="AM651" s="756"/>
      <c r="AN651" s="756"/>
      <c r="AO651" s="756"/>
      <c r="AP651" s="756"/>
      <c r="AQ651" s="756"/>
      <c r="AR651" s="757"/>
      <c r="AS651" s="125"/>
    </row>
    <row r="652" spans="1:46" x14ac:dyDescent="0.3">
      <c r="A652" s="116"/>
      <c r="B652" s="110"/>
      <c r="C652" s="110"/>
      <c r="D652" s="110"/>
      <c r="E652" s="115"/>
      <c r="F652" s="112"/>
      <c r="G652" s="129"/>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25"/>
    </row>
    <row r="653" spans="1:46" ht="14.15" x14ac:dyDescent="0.35">
      <c r="A653" s="286" t="s">
        <v>1414</v>
      </c>
      <c r="B653" s="110"/>
      <c r="C653" s="110"/>
      <c r="D653" s="120" t="str">
        <f>IF(calculations!B3=3,"DRIVER TRAINING","")</f>
        <v/>
      </c>
      <c r="E653" s="115"/>
      <c r="F653" s="110"/>
      <c r="G653" s="110"/>
      <c r="H653" s="110"/>
      <c r="I653" s="110"/>
      <c r="J653" s="110"/>
      <c r="K653" s="110"/>
      <c r="L653" s="263" t="str">
        <f>IF(calculations!B3=3,"- FOR ALL DRIVERS OF OWNED VEHICLES, INCLUDING VOLUNTEERS","")</f>
        <v/>
      </c>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25"/>
    </row>
    <row r="654" spans="1:46" ht="4.5" customHeight="1" x14ac:dyDescent="0.3">
      <c r="A654" s="116"/>
      <c r="B654" s="110"/>
      <c r="C654" s="110"/>
      <c r="D654" s="110"/>
      <c r="E654" s="115"/>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25"/>
    </row>
    <row r="655" spans="1:46" x14ac:dyDescent="0.3">
      <c r="A655" s="116" t="s">
        <v>1415</v>
      </c>
      <c r="B655" s="110"/>
      <c r="C655" s="1"/>
      <c r="D655" s="31"/>
      <c r="E655" s="32"/>
      <c r="F655" s="33"/>
      <c r="G655" s="31"/>
      <c r="H655" s="31"/>
      <c r="I655" s="31"/>
      <c r="J655" s="215"/>
      <c r="K655" s="241"/>
      <c r="L655" s="775" t="str">
        <f>IF(calculations!B3=3,"There are no owned or leased vehicles.","")</f>
        <v/>
      </c>
      <c r="M655" s="775"/>
      <c r="N655" s="775"/>
      <c r="O655" s="775"/>
      <c r="P655" s="775"/>
      <c r="Q655" s="775"/>
      <c r="R655" s="775"/>
      <c r="S655" s="775"/>
      <c r="T655" s="775"/>
      <c r="U655" s="775"/>
      <c r="V655" s="775"/>
      <c r="W655" s="775"/>
      <c r="X655" s="775"/>
      <c r="Y655" s="775"/>
      <c r="Z655" s="775"/>
      <c r="AA655" s="775"/>
      <c r="AB655" s="775"/>
      <c r="AC655" s="775"/>
      <c r="AD655" s="775"/>
      <c r="AE655" s="775"/>
      <c r="AF655" s="775"/>
      <c r="AG655" s="775"/>
      <c r="AH655" s="775"/>
      <c r="AI655" s="775"/>
      <c r="AJ655" s="775"/>
      <c r="AK655" s="775"/>
      <c r="AL655" s="775"/>
      <c r="AM655" s="775"/>
      <c r="AN655" s="775"/>
      <c r="AO655" s="775"/>
      <c r="AP655" s="775"/>
      <c r="AQ655" s="775"/>
      <c r="AR655" s="775"/>
      <c r="AS655" s="125"/>
    </row>
    <row r="656" spans="1:46" ht="4.5" customHeight="1" x14ac:dyDescent="0.3">
      <c r="A656" s="116"/>
      <c r="B656" s="110"/>
      <c r="C656" s="1"/>
      <c r="D656" s="31"/>
      <c r="E656" s="34"/>
      <c r="F656" s="31"/>
      <c r="G656" s="31"/>
      <c r="H656" s="31"/>
      <c r="I656" s="31"/>
      <c r="J656" s="215"/>
      <c r="K656" s="241"/>
      <c r="L656" s="241"/>
      <c r="M656" s="241"/>
      <c r="N656" s="241"/>
      <c r="O656" s="241"/>
      <c r="P656" s="241"/>
      <c r="Q656" s="241"/>
      <c r="R656" s="241"/>
      <c r="S656" s="241"/>
      <c r="T656" s="241"/>
      <c r="U656" s="241"/>
      <c r="V656" s="241"/>
      <c r="W656" s="241"/>
      <c r="X656" s="241"/>
      <c r="Y656" s="241"/>
      <c r="Z656" s="241"/>
      <c r="AA656" s="241"/>
      <c r="AB656" s="241"/>
      <c r="AC656" s="241"/>
      <c r="AD656" s="241"/>
      <c r="AE656" s="241"/>
      <c r="AF656" s="241"/>
      <c r="AG656" s="241"/>
      <c r="AH656" s="241"/>
      <c r="AI656" s="241"/>
      <c r="AJ656" s="241"/>
      <c r="AK656" s="241"/>
      <c r="AL656" s="241"/>
      <c r="AM656" s="241"/>
      <c r="AN656" s="241"/>
      <c r="AO656" s="241"/>
      <c r="AP656" s="241"/>
      <c r="AQ656" s="241"/>
      <c r="AR656" s="241"/>
      <c r="AS656" s="125"/>
    </row>
    <row r="657" spans="1:45" ht="27" customHeight="1" x14ac:dyDescent="0.3">
      <c r="A657" s="116" t="s">
        <v>1416</v>
      </c>
      <c r="B657" s="110"/>
      <c r="C657" s="1"/>
      <c r="D657" s="31"/>
      <c r="E657" s="32"/>
      <c r="F657" s="33"/>
      <c r="G657" s="31"/>
      <c r="H657" s="31"/>
      <c r="I657" s="31"/>
      <c r="J657" s="215"/>
      <c r="K657" s="241"/>
      <c r="L657" s="775" t="str">
        <f>IF(calculations!B3=3,"1) PLATINUM MEDAL plus annual road test or ride-along is documented for every driver. 
2) Defensive driver training is required of all drivers annually.","")</f>
        <v/>
      </c>
      <c r="M657" s="775"/>
      <c r="N657" s="775"/>
      <c r="O657" s="775"/>
      <c r="P657" s="775"/>
      <c r="Q657" s="775"/>
      <c r="R657" s="775"/>
      <c r="S657" s="775"/>
      <c r="T657" s="775"/>
      <c r="U657" s="775"/>
      <c r="V657" s="775"/>
      <c r="W657" s="775"/>
      <c r="X657" s="775"/>
      <c r="Y657" s="775"/>
      <c r="Z657" s="775"/>
      <c r="AA657" s="775"/>
      <c r="AB657" s="775"/>
      <c r="AC657" s="775"/>
      <c r="AD657" s="775"/>
      <c r="AE657" s="775"/>
      <c r="AF657" s="775"/>
      <c r="AG657" s="775"/>
      <c r="AH657" s="775"/>
      <c r="AI657" s="775"/>
      <c r="AJ657" s="775"/>
      <c r="AK657" s="775"/>
      <c r="AL657" s="775"/>
      <c r="AM657" s="775"/>
      <c r="AN657" s="775"/>
      <c r="AO657" s="775"/>
      <c r="AP657" s="775"/>
      <c r="AQ657" s="775"/>
      <c r="AR657" s="775"/>
      <c r="AS657" s="125"/>
    </row>
    <row r="658" spans="1:45" ht="4.5" customHeight="1" x14ac:dyDescent="0.3">
      <c r="A658" s="116"/>
      <c r="B658" s="110"/>
      <c r="C658" s="1"/>
      <c r="D658" s="31"/>
      <c r="E658" s="32"/>
      <c r="F658" s="33"/>
      <c r="G658" s="31"/>
      <c r="H658" s="31"/>
      <c r="I658" s="31"/>
      <c r="J658" s="215"/>
      <c r="K658" s="241"/>
      <c r="L658" s="241"/>
      <c r="M658" s="241"/>
      <c r="N658" s="241"/>
      <c r="O658" s="241"/>
      <c r="P658" s="241"/>
      <c r="Q658" s="241"/>
      <c r="R658" s="241"/>
      <c r="S658" s="241"/>
      <c r="T658" s="241"/>
      <c r="U658" s="241"/>
      <c r="V658" s="241"/>
      <c r="W658" s="241"/>
      <c r="X658" s="241"/>
      <c r="Y658" s="241"/>
      <c r="Z658" s="241"/>
      <c r="AA658" s="241"/>
      <c r="AB658" s="241"/>
      <c r="AC658" s="241"/>
      <c r="AD658" s="241"/>
      <c r="AE658" s="241"/>
      <c r="AF658" s="241"/>
      <c r="AG658" s="241"/>
      <c r="AH658" s="241"/>
      <c r="AI658" s="241"/>
      <c r="AJ658" s="241"/>
      <c r="AK658" s="241"/>
      <c r="AL658" s="241"/>
      <c r="AM658" s="241"/>
      <c r="AN658" s="241"/>
      <c r="AO658" s="241"/>
      <c r="AP658" s="241"/>
      <c r="AQ658" s="241"/>
      <c r="AR658" s="241"/>
      <c r="AS658" s="125"/>
    </row>
    <row r="659" spans="1:45" ht="27" customHeight="1" x14ac:dyDescent="0.3">
      <c r="A659" s="116" t="s">
        <v>1417</v>
      </c>
      <c r="B659" s="110"/>
      <c r="C659" s="1"/>
      <c r="D659" s="31"/>
      <c r="E659" s="34"/>
      <c r="F659" s="31"/>
      <c r="G659" s="31"/>
      <c r="H659" s="31"/>
      <c r="I659" s="31"/>
      <c r="J659" s="215"/>
      <c r="K659" s="241"/>
      <c r="L659" s="775" t="str">
        <f>IF(calculations!B3=3,forms!A220,"")</f>
        <v/>
      </c>
      <c r="M659" s="775"/>
      <c r="N659" s="775"/>
      <c r="O659" s="775"/>
      <c r="P659" s="775"/>
      <c r="Q659" s="775"/>
      <c r="R659" s="775"/>
      <c r="S659" s="775"/>
      <c r="T659" s="775"/>
      <c r="U659" s="775"/>
      <c r="V659" s="775"/>
      <c r="W659" s="775"/>
      <c r="X659" s="775"/>
      <c r="Y659" s="775"/>
      <c r="Z659" s="775"/>
      <c r="AA659" s="775"/>
      <c r="AB659" s="775"/>
      <c r="AC659" s="775"/>
      <c r="AD659" s="775"/>
      <c r="AE659" s="775"/>
      <c r="AF659" s="775"/>
      <c r="AG659" s="775"/>
      <c r="AH659" s="775"/>
      <c r="AI659" s="775"/>
      <c r="AJ659" s="775"/>
      <c r="AK659" s="775"/>
      <c r="AL659" s="775"/>
      <c r="AM659" s="775"/>
      <c r="AN659" s="775"/>
      <c r="AO659" s="775"/>
      <c r="AP659" s="775"/>
      <c r="AQ659" s="775"/>
      <c r="AR659" s="775"/>
      <c r="AS659" s="125"/>
    </row>
    <row r="660" spans="1:45" ht="4.5" customHeight="1" x14ac:dyDescent="0.3">
      <c r="A660" s="116"/>
      <c r="B660" s="110"/>
      <c r="C660" s="1"/>
      <c r="D660" s="31"/>
      <c r="E660" s="34"/>
      <c r="F660" s="31"/>
      <c r="G660" s="31"/>
      <c r="H660" s="31"/>
      <c r="I660" s="31"/>
      <c r="J660" s="215"/>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125"/>
    </row>
    <row r="661" spans="1:45" ht="25.5" customHeight="1" x14ac:dyDescent="0.3">
      <c r="A661" s="116" t="s">
        <v>1418</v>
      </c>
      <c r="B661" s="110"/>
      <c r="C661" s="1"/>
      <c r="D661" s="31"/>
      <c r="E661" s="32"/>
      <c r="F661" s="33"/>
      <c r="G661" s="31"/>
      <c r="H661" s="31"/>
      <c r="I661" s="31"/>
      <c r="J661" s="215"/>
      <c r="K661" s="241"/>
      <c r="L661" s="775" t="str">
        <f>IF(calculations!B3=3,"There is an initial generalized driver orientation plus specific hands-on orientation using each of the types of vehicles that the specific driver will drive.","")</f>
        <v/>
      </c>
      <c r="M661" s="775"/>
      <c r="N661" s="775"/>
      <c r="O661" s="775"/>
      <c r="P661" s="775"/>
      <c r="Q661" s="775"/>
      <c r="R661" s="775"/>
      <c r="S661" s="775"/>
      <c r="T661" s="775"/>
      <c r="U661" s="775"/>
      <c r="V661" s="775"/>
      <c r="W661" s="775"/>
      <c r="X661" s="775"/>
      <c r="Y661" s="775"/>
      <c r="Z661" s="775"/>
      <c r="AA661" s="775"/>
      <c r="AB661" s="775"/>
      <c r="AC661" s="775"/>
      <c r="AD661" s="775"/>
      <c r="AE661" s="775"/>
      <c r="AF661" s="775"/>
      <c r="AG661" s="775"/>
      <c r="AH661" s="775"/>
      <c r="AI661" s="775"/>
      <c r="AJ661" s="775"/>
      <c r="AK661" s="775"/>
      <c r="AL661" s="775"/>
      <c r="AM661" s="775"/>
      <c r="AN661" s="775"/>
      <c r="AO661" s="775"/>
      <c r="AP661" s="775"/>
      <c r="AQ661" s="775"/>
      <c r="AR661" s="775"/>
      <c r="AS661" s="125"/>
    </row>
    <row r="662" spans="1:45" ht="4.5" customHeight="1" x14ac:dyDescent="0.3">
      <c r="A662" s="116"/>
      <c r="B662" s="110"/>
      <c r="C662" s="1"/>
      <c r="D662" s="1"/>
      <c r="E662" s="35"/>
      <c r="F662" s="1"/>
      <c r="G662" s="1"/>
      <c r="H662" s="1"/>
      <c r="I662" s="1"/>
      <c r="J662" s="214"/>
      <c r="K662" s="241"/>
      <c r="L662" s="241"/>
      <c r="M662" s="241"/>
      <c r="N662" s="241"/>
      <c r="O662" s="241"/>
      <c r="P662" s="241"/>
      <c r="Q662" s="241"/>
      <c r="R662" s="241"/>
      <c r="S662" s="241"/>
      <c r="T662" s="241"/>
      <c r="U662" s="241"/>
      <c r="V662" s="241"/>
      <c r="W662" s="241"/>
      <c r="X662" s="241"/>
      <c r="Y662" s="241"/>
      <c r="Z662" s="241"/>
      <c r="AA662" s="241"/>
      <c r="AB662" s="241"/>
      <c r="AC662" s="241"/>
      <c r="AD662" s="241"/>
      <c r="AE662" s="241"/>
      <c r="AF662" s="241"/>
      <c r="AG662" s="241"/>
      <c r="AH662" s="241"/>
      <c r="AI662" s="241"/>
      <c r="AJ662" s="241"/>
      <c r="AK662" s="241"/>
      <c r="AL662" s="241"/>
      <c r="AM662" s="241"/>
      <c r="AN662" s="241"/>
      <c r="AO662" s="241"/>
      <c r="AP662" s="241"/>
      <c r="AQ662" s="241"/>
      <c r="AR662" s="241"/>
      <c r="AS662" s="125"/>
    </row>
    <row r="663" spans="1:45" x14ac:dyDescent="0.3">
      <c r="A663" s="116" t="s">
        <v>1419</v>
      </c>
      <c r="B663" s="110"/>
      <c r="C663" s="1"/>
      <c r="D663" s="1"/>
      <c r="E663" s="11"/>
      <c r="F663" s="3"/>
      <c r="G663" s="1"/>
      <c r="H663" s="1"/>
      <c r="I663" s="1"/>
      <c r="J663" s="214"/>
      <c r="K663" s="241"/>
      <c r="L663" s="775" t="str">
        <f>IF(calculations!B3=3,"An initial generalized driver orientation is provided.","")</f>
        <v/>
      </c>
      <c r="M663" s="775"/>
      <c r="N663" s="775"/>
      <c r="O663" s="775"/>
      <c r="P663" s="775"/>
      <c r="Q663" s="775"/>
      <c r="R663" s="775"/>
      <c r="S663" s="775"/>
      <c r="T663" s="775"/>
      <c r="U663" s="775"/>
      <c r="V663" s="775"/>
      <c r="W663" s="775"/>
      <c r="X663" s="775"/>
      <c r="Y663" s="775"/>
      <c r="Z663" s="775"/>
      <c r="AA663" s="775"/>
      <c r="AB663" s="775"/>
      <c r="AC663" s="775"/>
      <c r="AD663" s="775"/>
      <c r="AE663" s="775"/>
      <c r="AF663" s="775"/>
      <c r="AG663" s="775"/>
      <c r="AH663" s="775"/>
      <c r="AI663" s="775"/>
      <c r="AJ663" s="775"/>
      <c r="AK663" s="775"/>
      <c r="AL663" s="775"/>
      <c r="AM663" s="775"/>
      <c r="AN663" s="775"/>
      <c r="AO663" s="775"/>
      <c r="AP663" s="775"/>
      <c r="AQ663" s="775"/>
      <c r="AR663" s="775"/>
      <c r="AS663" s="125"/>
    </row>
    <row r="664" spans="1:45" ht="4.5" customHeight="1" x14ac:dyDescent="0.3">
      <c r="B664" s="110"/>
      <c r="C664" s="1"/>
      <c r="D664" s="1"/>
      <c r="E664" s="11"/>
      <c r="F664" s="1"/>
      <c r="G664" s="1"/>
      <c r="H664" s="1"/>
      <c r="I664" s="1"/>
      <c r="J664" s="214"/>
      <c r="K664" s="241"/>
      <c r="L664" s="241"/>
      <c r="M664" s="241"/>
      <c r="N664" s="241"/>
      <c r="O664" s="241"/>
      <c r="P664" s="241"/>
      <c r="Q664" s="241"/>
      <c r="R664" s="241"/>
      <c r="S664" s="241"/>
      <c r="T664" s="241"/>
      <c r="U664" s="241"/>
      <c r="V664" s="241"/>
      <c r="W664" s="241"/>
      <c r="X664" s="241"/>
      <c r="Y664" s="241"/>
      <c r="Z664" s="241"/>
      <c r="AA664" s="241"/>
      <c r="AB664" s="241"/>
      <c r="AC664" s="241"/>
      <c r="AD664" s="241"/>
      <c r="AE664" s="241"/>
      <c r="AF664" s="241"/>
      <c r="AG664" s="241"/>
      <c r="AH664" s="241"/>
      <c r="AI664" s="241"/>
      <c r="AJ664" s="241"/>
      <c r="AK664" s="241"/>
      <c r="AL664" s="241"/>
      <c r="AM664" s="241"/>
      <c r="AN664" s="241"/>
      <c r="AO664" s="241"/>
      <c r="AP664" s="241"/>
      <c r="AQ664" s="241"/>
      <c r="AR664" s="241"/>
      <c r="AS664" s="125"/>
    </row>
    <row r="665" spans="1:45" x14ac:dyDescent="0.3">
      <c r="A665" s="116" t="s">
        <v>1420</v>
      </c>
      <c r="B665" s="110"/>
      <c r="C665" s="1"/>
      <c r="D665" s="39"/>
      <c r="E665" s="44"/>
      <c r="F665" s="39"/>
      <c r="G665" s="39"/>
      <c r="H665" s="39"/>
      <c r="I665" s="39"/>
      <c r="J665" s="218"/>
      <c r="K665" s="241"/>
      <c r="L665" s="775" t="str">
        <f>IF(calculations!B3=3,"There are no training protocols.","")</f>
        <v/>
      </c>
      <c r="M665" s="775"/>
      <c r="N665" s="775"/>
      <c r="O665" s="775"/>
      <c r="P665" s="775"/>
      <c r="Q665" s="775"/>
      <c r="R665" s="775"/>
      <c r="S665" s="775"/>
      <c r="T665" s="775"/>
      <c r="U665" s="775"/>
      <c r="V665" s="775"/>
      <c r="W665" s="775"/>
      <c r="X665" s="775"/>
      <c r="Y665" s="775"/>
      <c r="Z665" s="775"/>
      <c r="AA665" s="775"/>
      <c r="AB665" s="775"/>
      <c r="AC665" s="775"/>
      <c r="AD665" s="775"/>
      <c r="AE665" s="775"/>
      <c r="AF665" s="775"/>
      <c r="AG665" s="775"/>
      <c r="AH665" s="775"/>
      <c r="AI665" s="775"/>
      <c r="AJ665" s="775"/>
      <c r="AK665" s="775"/>
      <c r="AL665" s="775"/>
      <c r="AM665" s="775"/>
      <c r="AN665" s="775"/>
      <c r="AO665" s="775"/>
      <c r="AP665" s="775"/>
      <c r="AQ665" s="775"/>
      <c r="AR665" s="775"/>
      <c r="AS665" s="125"/>
    </row>
    <row r="666" spans="1:45" ht="4.5" customHeight="1" x14ac:dyDescent="0.3">
      <c r="A666" s="116"/>
      <c r="B666" s="110"/>
      <c r="C666" s="110"/>
      <c r="D666" s="110"/>
      <c r="E666" s="115"/>
      <c r="F666" s="110"/>
      <c r="G666" s="110"/>
      <c r="H666" s="110"/>
      <c r="I666" s="110"/>
      <c r="J666" s="241"/>
      <c r="K666" s="241"/>
      <c r="L666" s="241"/>
      <c r="M666" s="241"/>
      <c r="N666" s="241"/>
      <c r="O666" s="241"/>
      <c r="P666" s="241"/>
      <c r="Q666" s="241"/>
      <c r="R666" s="241"/>
      <c r="S666" s="241"/>
      <c r="T666" s="241"/>
      <c r="U666" s="241"/>
      <c r="V666" s="241"/>
      <c r="W666" s="241"/>
      <c r="X666" s="241"/>
      <c r="Y666" s="241"/>
      <c r="Z666" s="241"/>
      <c r="AA666" s="241"/>
      <c r="AB666" s="241"/>
      <c r="AC666" s="241"/>
      <c r="AD666" s="241"/>
      <c r="AE666" s="241"/>
      <c r="AF666" s="241"/>
      <c r="AG666" s="241"/>
      <c r="AH666" s="241"/>
      <c r="AI666" s="241"/>
      <c r="AJ666" s="241"/>
      <c r="AK666" s="241"/>
      <c r="AL666" s="241"/>
      <c r="AM666" s="241"/>
      <c r="AN666" s="241"/>
      <c r="AO666" s="241"/>
      <c r="AP666" s="241"/>
      <c r="AQ666" s="241"/>
      <c r="AR666" s="241"/>
      <c r="AS666" s="125"/>
    </row>
    <row r="667" spans="1:45" x14ac:dyDescent="0.3">
      <c r="A667" s="116"/>
      <c r="B667" s="110"/>
      <c r="C667" s="110"/>
      <c r="D667" s="110"/>
      <c r="E667" s="115"/>
      <c r="F667" s="116" t="str">
        <f>IF(calculations!B3=3,"COMMENTS","")</f>
        <v/>
      </c>
      <c r="G667" s="110"/>
      <c r="H667" s="110"/>
      <c r="I667" s="110"/>
      <c r="J667" s="755" t="str">
        <f>IF(calculations!M187,"describe corrective action proposed to correct any Red Flag or Yellow Flag ranking",IF(calculations!N187,"describe corrective action proposed to correct any Red Flag or Yellow Flag ranking",""))</f>
        <v/>
      </c>
      <c r="K667" s="756"/>
      <c r="L667" s="756"/>
      <c r="M667" s="756"/>
      <c r="N667" s="756"/>
      <c r="O667" s="756"/>
      <c r="P667" s="756"/>
      <c r="Q667" s="756"/>
      <c r="R667" s="756"/>
      <c r="S667" s="756"/>
      <c r="T667" s="756"/>
      <c r="U667" s="756"/>
      <c r="V667" s="756"/>
      <c r="W667" s="756"/>
      <c r="X667" s="756"/>
      <c r="Y667" s="756"/>
      <c r="Z667" s="756"/>
      <c r="AA667" s="756"/>
      <c r="AB667" s="756"/>
      <c r="AC667" s="756"/>
      <c r="AD667" s="756"/>
      <c r="AE667" s="756"/>
      <c r="AF667" s="756"/>
      <c r="AG667" s="756"/>
      <c r="AH667" s="756"/>
      <c r="AI667" s="756"/>
      <c r="AJ667" s="756"/>
      <c r="AK667" s="756"/>
      <c r="AL667" s="756"/>
      <c r="AM667" s="756"/>
      <c r="AN667" s="756"/>
      <c r="AO667" s="756"/>
      <c r="AP667" s="756"/>
      <c r="AQ667" s="756"/>
      <c r="AR667" s="757"/>
      <c r="AS667" s="125"/>
    </row>
    <row r="668" spans="1:45" ht="4.5" customHeight="1" x14ac:dyDescent="0.3">
      <c r="A668" s="116"/>
      <c r="B668" s="110"/>
      <c r="C668" s="110"/>
      <c r="D668" s="110"/>
      <c r="E668" s="115"/>
      <c r="F668" s="116"/>
      <c r="G668" s="110"/>
      <c r="H668" s="110"/>
      <c r="I668" s="110"/>
      <c r="J668" s="315"/>
      <c r="K668" s="315"/>
      <c r="L668" s="315"/>
      <c r="M668" s="315"/>
      <c r="N668" s="315"/>
      <c r="O668" s="315"/>
      <c r="P668" s="315"/>
      <c r="Q668" s="315"/>
      <c r="R668" s="315"/>
      <c r="S668" s="315"/>
      <c r="T668" s="315"/>
      <c r="U668" s="315"/>
      <c r="V668" s="315"/>
      <c r="W668" s="315"/>
      <c r="X668" s="315"/>
      <c r="Y668" s="315"/>
      <c r="Z668" s="315"/>
      <c r="AA668" s="315"/>
      <c r="AB668" s="315"/>
      <c r="AC668" s="315"/>
      <c r="AD668" s="315"/>
      <c r="AE668" s="315"/>
      <c r="AF668" s="315"/>
      <c r="AG668" s="315"/>
      <c r="AH668" s="315"/>
      <c r="AI668" s="315"/>
      <c r="AJ668" s="315"/>
      <c r="AK668" s="315"/>
      <c r="AL668" s="315"/>
      <c r="AM668" s="315"/>
      <c r="AN668" s="315"/>
      <c r="AO668" s="315"/>
      <c r="AP668" s="315"/>
      <c r="AQ668" s="315"/>
      <c r="AR668" s="315"/>
      <c r="AS668" s="125"/>
    </row>
    <row r="669" spans="1:45" ht="27" customHeight="1" x14ac:dyDescent="0.3">
      <c r="A669" s="116"/>
      <c r="B669" s="110"/>
      <c r="C669" s="110"/>
      <c r="D669" s="110"/>
      <c r="E669" s="115"/>
      <c r="F669" s="114" t="str">
        <f>IF(J669&gt;"","RECS","")</f>
        <v/>
      </c>
      <c r="G669" s="110"/>
      <c r="H669" s="110"/>
      <c r="I669" s="110"/>
      <c r="J669" s="755" t="str">
        <f>IF(calculations!M187,Rec!D231,IF(calculations!N187,Rec!D232,""))</f>
        <v/>
      </c>
      <c r="K669" s="756"/>
      <c r="L669" s="756"/>
      <c r="M669" s="756"/>
      <c r="N669" s="756"/>
      <c r="O669" s="756"/>
      <c r="P669" s="756"/>
      <c r="Q669" s="756"/>
      <c r="R669" s="756"/>
      <c r="S669" s="756"/>
      <c r="T669" s="756"/>
      <c r="U669" s="756"/>
      <c r="V669" s="756"/>
      <c r="W669" s="756"/>
      <c r="X669" s="756"/>
      <c r="Y669" s="756"/>
      <c r="Z669" s="756"/>
      <c r="AA669" s="756"/>
      <c r="AB669" s="756"/>
      <c r="AC669" s="756"/>
      <c r="AD669" s="756"/>
      <c r="AE669" s="756"/>
      <c r="AF669" s="756"/>
      <c r="AG669" s="756"/>
      <c r="AH669" s="756"/>
      <c r="AI669" s="756"/>
      <c r="AJ669" s="756"/>
      <c r="AK669" s="756"/>
      <c r="AL669" s="756"/>
      <c r="AM669" s="756"/>
      <c r="AN669" s="756"/>
      <c r="AO669" s="756"/>
      <c r="AP669" s="756"/>
      <c r="AQ669" s="756"/>
      <c r="AR669" s="757"/>
      <c r="AS669" s="125"/>
    </row>
    <row r="670" spans="1:45" x14ac:dyDescent="0.3">
      <c r="A670" s="286" t="s">
        <v>1421</v>
      </c>
      <c r="B670" s="110"/>
      <c r="C670" s="110"/>
      <c r="D670" s="110"/>
      <c r="E670" s="115"/>
      <c r="F670" s="112"/>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25"/>
    </row>
    <row r="671" spans="1:45" ht="14.15" x14ac:dyDescent="0.35">
      <c r="A671" s="116"/>
      <c r="B671" s="110"/>
      <c r="C671" s="110"/>
      <c r="D671" s="120" t="str">
        <f>IF(calculations!B3=3,"USE OF PERSONAL VEHICLES FOR BUSINESS USE,","")</f>
        <v/>
      </c>
      <c r="E671" s="115"/>
      <c r="F671" s="110"/>
      <c r="G671" s="110"/>
      <c r="H671" s="110"/>
      <c r="I671" s="110"/>
      <c r="J671" s="110"/>
      <c r="K671" s="110"/>
      <c r="L671" s="110"/>
      <c r="M671" s="110"/>
      <c r="N671" s="110"/>
      <c r="O671" s="110"/>
      <c r="P671" s="110"/>
      <c r="Q671" s="110"/>
      <c r="R671" s="110"/>
      <c r="S671" s="110"/>
      <c r="T671" s="110"/>
      <c r="U671" s="110"/>
      <c r="V671" s="110"/>
      <c r="W671" s="110"/>
      <c r="X671" s="110"/>
      <c r="Y671" s="110"/>
      <c r="Z671" s="145" t="str">
        <f>IF(calculations!B3=3," - WHETHER OR NOT TRANSPORTING PARTICIPANTS;","")</f>
        <v/>
      </c>
      <c r="AA671" s="110"/>
      <c r="AB671" s="110"/>
      <c r="AC671" s="110"/>
      <c r="AD671" s="110"/>
      <c r="AE671" s="110"/>
      <c r="AF671" s="110"/>
      <c r="AG671" s="110"/>
      <c r="AH671" s="110"/>
      <c r="AI671" s="110"/>
      <c r="AJ671" s="110"/>
      <c r="AK671" s="110"/>
      <c r="AL671" s="110"/>
      <c r="AM671" s="110"/>
      <c r="AN671" s="110"/>
      <c r="AO671" s="110"/>
      <c r="AP671" s="110"/>
      <c r="AQ671" s="110"/>
      <c r="AR671" s="110"/>
      <c r="AS671" s="125"/>
    </row>
    <row r="672" spans="1:45" ht="24" customHeight="1" x14ac:dyDescent="0.3">
      <c r="B672" s="110"/>
      <c r="C672" s="110"/>
      <c r="D672" s="110"/>
      <c r="E672" s="115"/>
      <c r="F672" s="110"/>
      <c r="G672" s="110"/>
      <c r="H672" s="110"/>
      <c r="I672" s="110"/>
      <c r="J672" s="110"/>
      <c r="K672" s="110"/>
      <c r="L672" s="110"/>
      <c r="M672" s="110"/>
      <c r="N672" s="110"/>
      <c r="O672" s="110"/>
      <c r="P672" s="110"/>
      <c r="Q672" s="781" t="str">
        <f>IF(calculations!B3=3,"INCLUDES VOLUNTEERS WHO DRIVE THEIR PERSONAL VEHICLES ON ASSOCIATION BUSINESS, STAFF DOING BANK, POST OFFICE, OR PURCHASE TRIPS, etc.","")</f>
        <v/>
      </c>
      <c r="R672" s="781"/>
      <c r="S672" s="781"/>
      <c r="T672" s="781"/>
      <c r="U672" s="781"/>
      <c r="V672" s="781"/>
      <c r="W672" s="781"/>
      <c r="X672" s="781"/>
      <c r="Y672" s="781"/>
      <c r="Z672" s="781"/>
      <c r="AA672" s="781"/>
      <c r="AB672" s="781"/>
      <c r="AC672" s="781"/>
      <c r="AD672" s="781"/>
      <c r="AE672" s="781"/>
      <c r="AF672" s="781"/>
      <c r="AG672" s="781"/>
      <c r="AH672" s="781"/>
      <c r="AI672" s="781"/>
      <c r="AJ672" s="781"/>
      <c r="AK672" s="781"/>
      <c r="AL672" s="781"/>
      <c r="AM672" s="781"/>
      <c r="AN672" s="781"/>
      <c r="AO672" s="781"/>
      <c r="AP672" s="781"/>
      <c r="AQ672" s="781"/>
      <c r="AR672" s="781"/>
      <c r="AS672" s="125"/>
    </row>
    <row r="673" spans="1:46" ht="4.5" customHeight="1" x14ac:dyDescent="0.3">
      <c r="B673" s="110"/>
      <c r="C673" s="110"/>
      <c r="D673" s="110"/>
      <c r="E673" s="115"/>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25"/>
    </row>
    <row r="674" spans="1:46" ht="25.5" customHeight="1" x14ac:dyDescent="0.3">
      <c r="A674" s="116" t="s">
        <v>1422</v>
      </c>
      <c r="B674" s="110"/>
      <c r="C674" s="1"/>
      <c r="D674" s="31"/>
      <c r="E674" s="32"/>
      <c r="F674" s="33"/>
      <c r="G674" s="31"/>
      <c r="H674" s="31"/>
      <c r="I674" s="31"/>
      <c r="J674" s="31"/>
      <c r="L674" s="775" t="str">
        <f>IF(calculations!B3=3,"PLATINUM MEDAL with stated minimum insurance requirements ($100/300,000 or $250,000 CSL) and a vehicle safety check/inspection affidavit for non-YMCA vehicles used on YMCA business.","")</f>
        <v/>
      </c>
      <c r="M674" s="775"/>
      <c r="N674" s="775"/>
      <c r="O674" s="775"/>
      <c r="P674" s="775"/>
      <c r="Q674" s="775"/>
      <c r="R674" s="775"/>
      <c r="S674" s="775"/>
      <c r="T674" s="775"/>
      <c r="U674" s="775"/>
      <c r="V674" s="775"/>
      <c r="W674" s="775"/>
      <c r="X674" s="775"/>
      <c r="Y674" s="775"/>
      <c r="Z674" s="775"/>
      <c r="AA674" s="775"/>
      <c r="AB674" s="775"/>
      <c r="AC674" s="775"/>
      <c r="AD674" s="775"/>
      <c r="AE674" s="775"/>
      <c r="AF674" s="775"/>
      <c r="AG674" s="775"/>
      <c r="AH674" s="775"/>
      <c r="AI674" s="775"/>
      <c r="AJ674" s="775"/>
      <c r="AK674" s="775"/>
      <c r="AL674" s="775"/>
      <c r="AM674" s="775"/>
      <c r="AN674" s="775"/>
      <c r="AO674" s="775"/>
      <c r="AP674" s="775"/>
      <c r="AQ674" s="775"/>
      <c r="AR674" s="775"/>
      <c r="AS674" s="125"/>
    </row>
    <row r="675" spans="1:46" ht="4.5" customHeight="1" x14ac:dyDescent="0.3">
      <c r="A675" s="116"/>
      <c r="B675" s="110"/>
      <c r="C675" s="1"/>
      <c r="D675" s="31"/>
      <c r="E675" s="34"/>
      <c r="F675" s="31"/>
      <c r="G675" s="31"/>
      <c r="H675" s="31"/>
      <c r="I675" s="31"/>
      <c r="J675" s="31"/>
      <c r="L675" s="241"/>
      <c r="M675" s="241"/>
      <c r="N675" s="241"/>
      <c r="O675" s="241"/>
      <c r="P675" s="241"/>
      <c r="Q675" s="241"/>
      <c r="R675" s="241"/>
      <c r="S675" s="241"/>
      <c r="T675" s="241"/>
      <c r="U675" s="241"/>
      <c r="V675" s="241"/>
      <c r="W675" s="241"/>
      <c r="X675" s="241"/>
      <c r="Y675" s="241"/>
      <c r="Z675" s="241"/>
      <c r="AA675" s="241"/>
      <c r="AB675" s="241"/>
      <c r="AC675" s="241"/>
      <c r="AD675" s="241"/>
      <c r="AE675" s="241"/>
      <c r="AF675" s="241"/>
      <c r="AG675" s="241"/>
      <c r="AH675" s="241"/>
      <c r="AI675" s="241"/>
      <c r="AJ675" s="241"/>
      <c r="AK675" s="241"/>
      <c r="AL675" s="241"/>
      <c r="AM675" s="241"/>
      <c r="AN675" s="241"/>
      <c r="AO675" s="241"/>
      <c r="AP675" s="241"/>
      <c r="AQ675" s="241"/>
      <c r="AR675" s="241"/>
      <c r="AS675" s="125"/>
    </row>
    <row r="676" spans="1:46" ht="49.5" customHeight="1" x14ac:dyDescent="0.3">
      <c r="A676" s="116" t="s">
        <v>1423</v>
      </c>
      <c r="B676" s="110"/>
      <c r="C676" s="1"/>
      <c r="D676" s="31"/>
      <c r="E676" s="32"/>
      <c r="F676" s="33"/>
      <c r="G676" s="31"/>
      <c r="H676" s="31"/>
      <c r="I676" s="31"/>
      <c r="J676" s="31"/>
      <c r="L676" s="775" t="str">
        <f>IF(calculations!B3=3,forms!A221,"")</f>
        <v/>
      </c>
      <c r="M676" s="775"/>
      <c r="N676" s="775"/>
      <c r="O676" s="775"/>
      <c r="P676" s="775"/>
      <c r="Q676" s="775"/>
      <c r="R676" s="775"/>
      <c r="S676" s="775"/>
      <c r="T676" s="775"/>
      <c r="U676" s="775"/>
      <c r="V676" s="775"/>
      <c r="W676" s="775"/>
      <c r="X676" s="775"/>
      <c r="Y676" s="775"/>
      <c r="Z676" s="775"/>
      <c r="AA676" s="775"/>
      <c r="AB676" s="775"/>
      <c r="AC676" s="775"/>
      <c r="AD676" s="775"/>
      <c r="AE676" s="775"/>
      <c r="AF676" s="775"/>
      <c r="AG676" s="775"/>
      <c r="AH676" s="775"/>
      <c r="AI676" s="775"/>
      <c r="AJ676" s="775"/>
      <c r="AK676" s="775"/>
      <c r="AL676" s="775"/>
      <c r="AM676" s="775"/>
      <c r="AN676" s="775"/>
      <c r="AO676" s="775"/>
      <c r="AP676" s="775"/>
      <c r="AQ676" s="775"/>
      <c r="AR676" s="775"/>
      <c r="AS676" s="125"/>
    </row>
    <row r="677" spans="1:46" ht="4.5" customHeight="1" x14ac:dyDescent="0.3">
      <c r="A677" s="116"/>
      <c r="B677" s="110"/>
      <c r="C677" s="1"/>
      <c r="D677" s="31"/>
      <c r="E677" s="32"/>
      <c r="F677" s="33"/>
      <c r="G677" s="31"/>
      <c r="H677" s="31"/>
      <c r="I677" s="31"/>
      <c r="J677" s="31"/>
      <c r="L677" s="241"/>
      <c r="M677" s="241"/>
      <c r="N677" s="241"/>
      <c r="O677" s="241"/>
      <c r="P677" s="241"/>
      <c r="Q677" s="241"/>
      <c r="R677" s="241"/>
      <c r="S677" s="241"/>
      <c r="T677" s="241"/>
      <c r="U677" s="241"/>
      <c r="V677" s="241"/>
      <c r="W677" s="241"/>
      <c r="X677" s="241"/>
      <c r="Y677" s="241"/>
      <c r="Z677" s="241"/>
      <c r="AA677" s="241"/>
      <c r="AB677" s="241"/>
      <c r="AC677" s="241"/>
      <c r="AD677" s="241"/>
      <c r="AE677" s="241"/>
      <c r="AF677" s="241"/>
      <c r="AG677" s="241"/>
      <c r="AH677" s="241"/>
      <c r="AI677" s="241"/>
      <c r="AJ677" s="241"/>
      <c r="AK677" s="241"/>
      <c r="AL677" s="241"/>
      <c r="AM677" s="241"/>
      <c r="AN677" s="241"/>
      <c r="AO677" s="241"/>
      <c r="AP677" s="241"/>
      <c r="AQ677" s="241"/>
      <c r="AR677" s="241"/>
      <c r="AS677" s="125"/>
    </row>
    <row r="678" spans="1:46" ht="26.25" customHeight="1" x14ac:dyDescent="0.3">
      <c r="A678" s="116" t="s">
        <v>1424</v>
      </c>
      <c r="B678" s="110"/>
      <c r="C678" s="1"/>
      <c r="D678" s="31"/>
      <c r="E678" s="34"/>
      <c r="F678" s="31"/>
      <c r="G678" s="31"/>
      <c r="H678" s="31"/>
      <c r="I678" s="31"/>
      <c r="J678" s="31"/>
      <c r="L678" s="775" t="str">
        <f>IF(calculations!B3=3,"YELLOW FLAG plus drivers agree that they will only use vehicles having current liability insurance on YMCA business (but verification or documentation is not required).","")</f>
        <v/>
      </c>
      <c r="M678" s="775"/>
      <c r="N678" s="775"/>
      <c r="O678" s="775"/>
      <c r="P678" s="775"/>
      <c r="Q678" s="775"/>
      <c r="R678" s="775"/>
      <c r="S678" s="775"/>
      <c r="T678" s="775"/>
      <c r="U678" s="775"/>
      <c r="V678" s="775"/>
      <c r="W678" s="775"/>
      <c r="X678" s="775"/>
      <c r="Y678" s="775"/>
      <c r="Z678" s="775"/>
      <c r="AA678" s="775"/>
      <c r="AB678" s="775"/>
      <c r="AC678" s="775"/>
      <c r="AD678" s="775"/>
      <c r="AE678" s="775"/>
      <c r="AF678" s="775"/>
      <c r="AG678" s="775"/>
      <c r="AH678" s="775"/>
      <c r="AI678" s="775"/>
      <c r="AJ678" s="775"/>
      <c r="AK678" s="775"/>
      <c r="AL678" s="775"/>
      <c r="AM678" s="775"/>
      <c r="AN678" s="775"/>
      <c r="AO678" s="775"/>
      <c r="AP678" s="775"/>
      <c r="AQ678" s="775"/>
      <c r="AR678" s="775"/>
      <c r="AS678" s="125"/>
    </row>
    <row r="679" spans="1:46" ht="4.5" customHeight="1" x14ac:dyDescent="0.3">
      <c r="A679" s="116"/>
      <c r="B679" s="110"/>
      <c r="C679" s="1"/>
      <c r="D679" s="31"/>
      <c r="E679" s="34"/>
      <c r="F679" s="31"/>
      <c r="G679" s="31"/>
      <c r="H679" s="31"/>
      <c r="I679" s="31"/>
      <c r="J679" s="31"/>
      <c r="L679" s="241"/>
      <c r="M679" s="241"/>
      <c r="N679" s="241"/>
      <c r="O679" s="241"/>
      <c r="P679" s="241"/>
      <c r="Q679" s="241"/>
      <c r="R679" s="241"/>
      <c r="S679" s="241"/>
      <c r="T679" s="241"/>
      <c r="U679" s="241"/>
      <c r="V679" s="241"/>
      <c r="W679" s="241"/>
      <c r="X679" s="241"/>
      <c r="Y679" s="241"/>
      <c r="Z679" s="241"/>
      <c r="AA679" s="241"/>
      <c r="AB679" s="241"/>
      <c r="AC679" s="241"/>
      <c r="AD679" s="241"/>
      <c r="AE679" s="241"/>
      <c r="AF679" s="241"/>
      <c r="AG679" s="241"/>
      <c r="AH679" s="241"/>
      <c r="AI679" s="241"/>
      <c r="AJ679" s="241"/>
      <c r="AK679" s="241"/>
      <c r="AL679" s="241"/>
      <c r="AM679" s="241"/>
      <c r="AN679" s="241"/>
      <c r="AO679" s="241"/>
      <c r="AP679" s="241"/>
      <c r="AQ679" s="241"/>
      <c r="AR679" s="241"/>
      <c r="AS679" s="125"/>
    </row>
    <row r="680" spans="1:46" ht="24.75" customHeight="1" x14ac:dyDescent="0.3">
      <c r="A680" s="116" t="s">
        <v>1425</v>
      </c>
      <c r="B680" s="110"/>
      <c r="C680" s="1"/>
      <c r="D680" s="31"/>
      <c r="E680" s="32"/>
      <c r="F680" s="33"/>
      <c r="G680" s="31"/>
      <c r="H680" s="31"/>
      <c r="I680" s="31"/>
      <c r="J680" s="31"/>
      <c r="L680" s="775" t="str">
        <f>IF(calculations!B3=3,"Policy prohibits transporting program participants in vehicles not owned, leased, or rented by the YMCA.","")</f>
        <v/>
      </c>
      <c r="M680" s="775"/>
      <c r="N680" s="775"/>
      <c r="O680" s="775"/>
      <c r="P680" s="775"/>
      <c r="Q680" s="775"/>
      <c r="R680" s="775"/>
      <c r="S680" s="775"/>
      <c r="T680" s="775"/>
      <c r="U680" s="775"/>
      <c r="V680" s="775"/>
      <c r="W680" s="775"/>
      <c r="X680" s="775"/>
      <c r="Y680" s="775"/>
      <c r="Z680" s="775"/>
      <c r="AA680" s="775"/>
      <c r="AB680" s="775"/>
      <c r="AC680" s="775"/>
      <c r="AD680" s="775"/>
      <c r="AE680" s="775"/>
      <c r="AF680" s="775"/>
      <c r="AG680" s="775"/>
      <c r="AH680" s="775"/>
      <c r="AI680" s="775"/>
      <c r="AJ680" s="775"/>
      <c r="AK680" s="775"/>
      <c r="AL680" s="775"/>
      <c r="AM680" s="775"/>
      <c r="AN680" s="775"/>
      <c r="AO680" s="775"/>
      <c r="AP680" s="775"/>
      <c r="AQ680" s="775"/>
      <c r="AR680" s="775"/>
      <c r="AS680" s="125"/>
    </row>
    <row r="681" spans="1:46" ht="4.5" customHeight="1" x14ac:dyDescent="0.3">
      <c r="A681" s="116"/>
      <c r="B681" s="110"/>
      <c r="C681" s="1"/>
      <c r="D681" s="1"/>
      <c r="E681" s="35"/>
      <c r="F681" s="1"/>
      <c r="G681" s="1"/>
      <c r="H681" s="1"/>
      <c r="I681" s="1"/>
      <c r="J681" s="1"/>
      <c r="L681" s="242"/>
      <c r="M681" s="242"/>
      <c r="N681" s="242"/>
      <c r="O681" s="242"/>
      <c r="P681" s="242"/>
      <c r="Q681" s="242"/>
      <c r="R681" s="242"/>
      <c r="S681" s="242"/>
      <c r="T681" s="242"/>
      <c r="U681" s="242"/>
      <c r="V681" s="242"/>
      <c r="W681" s="242"/>
      <c r="X681" s="242"/>
      <c r="Y681" s="242"/>
      <c r="Z681" s="242"/>
      <c r="AA681" s="242"/>
      <c r="AB681" s="242"/>
      <c r="AC681" s="242"/>
      <c r="AD681" s="242"/>
      <c r="AE681" s="242"/>
      <c r="AF681" s="242"/>
      <c r="AG681" s="242"/>
      <c r="AH681" s="242"/>
      <c r="AI681" s="242"/>
      <c r="AJ681" s="242"/>
      <c r="AK681" s="242"/>
      <c r="AL681" s="242"/>
      <c r="AM681" s="242"/>
      <c r="AN681" s="242"/>
      <c r="AO681" s="242"/>
      <c r="AP681" s="242"/>
      <c r="AQ681" s="242"/>
      <c r="AR681" s="242"/>
      <c r="AS681" s="125"/>
    </row>
    <row r="682" spans="1:46" ht="27" customHeight="1" x14ac:dyDescent="0.3">
      <c r="A682" s="116" t="s">
        <v>1426</v>
      </c>
      <c r="B682" s="110"/>
      <c r="C682" s="1"/>
      <c r="D682" s="1"/>
      <c r="E682" s="11"/>
      <c r="F682" s="3"/>
      <c r="G682" s="1"/>
      <c r="H682" s="1"/>
      <c r="I682" s="1"/>
      <c r="J682" s="1"/>
      <c r="L682" s="775" t="str">
        <f>IF(calculations!B3=3,"The use of vehicles that are not owned, leased, or rented by the YMCA is not addressed OR the policy allows transportation of program participants.","")</f>
        <v/>
      </c>
      <c r="M682" s="775"/>
      <c r="N682" s="775"/>
      <c r="O682" s="775"/>
      <c r="P682" s="775"/>
      <c r="Q682" s="775"/>
      <c r="R682" s="775"/>
      <c r="S682" s="775"/>
      <c r="T682" s="775"/>
      <c r="U682" s="775"/>
      <c r="V682" s="775"/>
      <c r="W682" s="775"/>
      <c r="X682" s="775"/>
      <c r="Y682" s="775"/>
      <c r="Z682" s="775"/>
      <c r="AA682" s="775"/>
      <c r="AB682" s="775"/>
      <c r="AC682" s="775"/>
      <c r="AD682" s="775"/>
      <c r="AE682" s="775"/>
      <c r="AF682" s="775"/>
      <c r="AG682" s="775"/>
      <c r="AH682" s="775"/>
      <c r="AI682" s="775"/>
      <c r="AJ682" s="775"/>
      <c r="AK682" s="775"/>
      <c r="AL682" s="775"/>
      <c r="AM682" s="775"/>
      <c r="AN682" s="775"/>
      <c r="AO682" s="775"/>
      <c r="AP682" s="775"/>
      <c r="AQ682" s="775"/>
      <c r="AR682" s="775"/>
      <c r="AS682" s="125"/>
    </row>
    <row r="683" spans="1:46" ht="4.5" customHeight="1" x14ac:dyDescent="0.3">
      <c r="A683" s="116"/>
      <c r="B683" s="110"/>
      <c r="C683" s="110"/>
      <c r="D683" s="110"/>
      <c r="E683" s="115"/>
      <c r="F683" s="110"/>
      <c r="G683" s="110"/>
      <c r="H683" s="110"/>
      <c r="I683" s="110"/>
      <c r="J683" s="241"/>
      <c r="K683" s="241"/>
      <c r="L683" s="241"/>
      <c r="M683" s="241"/>
      <c r="N683" s="241"/>
      <c r="O683" s="241"/>
      <c r="P683" s="241"/>
      <c r="Q683" s="241"/>
      <c r="R683" s="241"/>
      <c r="S683" s="241"/>
      <c r="T683" s="241"/>
      <c r="U683" s="241"/>
      <c r="V683" s="241"/>
      <c r="W683" s="241"/>
      <c r="X683" s="241"/>
      <c r="Y683" s="241"/>
      <c r="Z683" s="241"/>
      <c r="AA683" s="241"/>
      <c r="AB683" s="241"/>
      <c r="AC683" s="241"/>
      <c r="AD683" s="241"/>
      <c r="AE683" s="241"/>
      <c r="AF683" s="241"/>
      <c r="AG683" s="241"/>
      <c r="AH683" s="241"/>
      <c r="AI683" s="241"/>
      <c r="AJ683" s="241"/>
      <c r="AK683" s="241"/>
      <c r="AL683" s="241"/>
      <c r="AM683" s="241"/>
      <c r="AN683" s="241"/>
      <c r="AO683" s="241"/>
      <c r="AP683" s="241"/>
      <c r="AQ683" s="241"/>
      <c r="AR683" s="241"/>
      <c r="AS683" s="125"/>
    </row>
    <row r="684" spans="1:46" x14ac:dyDescent="0.3">
      <c r="A684" s="116"/>
      <c r="B684" s="110"/>
      <c r="C684" s="110"/>
      <c r="D684" s="110"/>
      <c r="E684" s="115"/>
      <c r="F684" s="116" t="str">
        <f>IF(calculations!B3=3,"COMMENTS","")</f>
        <v/>
      </c>
      <c r="G684" s="110"/>
      <c r="H684" s="110"/>
      <c r="I684" s="110"/>
      <c r="J684" s="755" t="str">
        <f>IF(calculations!M188,"describe corrective action proposed to correct any Red Flag or Yellow Flag ranking",IF(calculations!N188,"describe corrective action proposed to correct any Red Flag or Yellow Flag ranking",""))</f>
        <v/>
      </c>
      <c r="K684" s="756"/>
      <c r="L684" s="756"/>
      <c r="M684" s="756"/>
      <c r="N684" s="756"/>
      <c r="O684" s="756"/>
      <c r="P684" s="756"/>
      <c r="Q684" s="756"/>
      <c r="R684" s="756"/>
      <c r="S684" s="756"/>
      <c r="T684" s="756"/>
      <c r="U684" s="756"/>
      <c r="V684" s="756"/>
      <c r="W684" s="756"/>
      <c r="X684" s="756"/>
      <c r="Y684" s="756"/>
      <c r="Z684" s="756"/>
      <c r="AA684" s="756"/>
      <c r="AB684" s="756"/>
      <c r="AC684" s="756"/>
      <c r="AD684" s="756"/>
      <c r="AE684" s="756"/>
      <c r="AF684" s="756"/>
      <c r="AG684" s="756"/>
      <c r="AH684" s="756"/>
      <c r="AI684" s="756"/>
      <c r="AJ684" s="756"/>
      <c r="AK684" s="756"/>
      <c r="AL684" s="756"/>
      <c r="AM684" s="756"/>
      <c r="AN684" s="756"/>
      <c r="AO684" s="756"/>
      <c r="AP684" s="756"/>
      <c r="AQ684" s="756"/>
      <c r="AR684" s="757"/>
      <c r="AS684" s="125"/>
    </row>
    <row r="685" spans="1:46" ht="4.5" customHeight="1" x14ac:dyDescent="0.3">
      <c r="A685" s="116"/>
      <c r="B685" s="110"/>
      <c r="C685" s="110"/>
      <c r="D685" s="110"/>
      <c r="E685" s="115"/>
      <c r="F685" s="116"/>
      <c r="G685" s="110"/>
      <c r="H685" s="110"/>
      <c r="I685" s="110"/>
      <c r="J685" s="315"/>
      <c r="K685" s="315"/>
      <c r="L685" s="315"/>
      <c r="M685" s="315"/>
      <c r="N685" s="315"/>
      <c r="O685" s="315"/>
      <c r="P685" s="315"/>
      <c r="Q685" s="315"/>
      <c r="R685" s="315"/>
      <c r="S685" s="315"/>
      <c r="T685" s="315"/>
      <c r="U685" s="315"/>
      <c r="V685" s="315"/>
      <c r="W685" s="315"/>
      <c r="X685" s="315"/>
      <c r="Y685" s="315"/>
      <c r="Z685" s="315"/>
      <c r="AA685" s="315"/>
      <c r="AB685" s="315"/>
      <c r="AC685" s="315"/>
      <c r="AD685" s="315"/>
      <c r="AE685" s="315"/>
      <c r="AF685" s="315"/>
      <c r="AG685" s="315"/>
      <c r="AH685" s="315"/>
      <c r="AI685" s="315"/>
      <c r="AJ685" s="315"/>
      <c r="AK685" s="315"/>
      <c r="AL685" s="315"/>
      <c r="AM685" s="315"/>
      <c r="AN685" s="315"/>
      <c r="AO685" s="315"/>
      <c r="AP685" s="315"/>
      <c r="AQ685" s="315"/>
      <c r="AR685" s="315"/>
      <c r="AS685" s="125"/>
      <c r="AT685" s="110"/>
    </row>
    <row r="686" spans="1:46" ht="24" customHeight="1" x14ac:dyDescent="0.3">
      <c r="A686" s="116"/>
      <c r="B686" s="110"/>
      <c r="C686" s="110"/>
      <c r="D686" s="110"/>
      <c r="E686" s="115"/>
      <c r="F686" s="114" t="str">
        <f>IF(J686&gt;"","RECS","")</f>
        <v/>
      </c>
      <c r="G686" s="110"/>
      <c r="H686" s="110"/>
      <c r="I686" s="110"/>
      <c r="J686" s="755" t="str">
        <f>IF(calculations!M188,Rec!D233,IF(calculations!N188,Rec!D234,""))</f>
        <v/>
      </c>
      <c r="K686" s="756"/>
      <c r="L686" s="756"/>
      <c r="M686" s="756"/>
      <c r="N686" s="756"/>
      <c r="O686" s="756"/>
      <c r="P686" s="756"/>
      <c r="Q686" s="756"/>
      <c r="R686" s="756"/>
      <c r="S686" s="756"/>
      <c r="T686" s="756"/>
      <c r="U686" s="756"/>
      <c r="V686" s="756"/>
      <c r="W686" s="756"/>
      <c r="X686" s="756"/>
      <c r="Y686" s="756"/>
      <c r="Z686" s="756"/>
      <c r="AA686" s="756"/>
      <c r="AB686" s="756"/>
      <c r="AC686" s="756"/>
      <c r="AD686" s="756"/>
      <c r="AE686" s="756"/>
      <c r="AF686" s="756"/>
      <c r="AG686" s="756"/>
      <c r="AH686" s="756"/>
      <c r="AI686" s="756"/>
      <c r="AJ686" s="756"/>
      <c r="AK686" s="756"/>
      <c r="AL686" s="756"/>
      <c r="AM686" s="756"/>
      <c r="AN686" s="756"/>
      <c r="AO686" s="756"/>
      <c r="AP686" s="756"/>
      <c r="AQ686" s="756"/>
      <c r="AR686" s="757"/>
      <c r="AS686" s="125"/>
    </row>
    <row r="687" spans="1:46" x14ac:dyDescent="0.3">
      <c r="A687" s="116"/>
      <c r="B687" s="110"/>
      <c r="C687" s="110"/>
      <c r="D687" s="110"/>
      <c r="E687" s="115"/>
      <c r="F687" s="112"/>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25"/>
    </row>
    <row r="688" spans="1:46" ht="14.15" x14ac:dyDescent="0.35">
      <c r="A688" s="286" t="s">
        <v>1427</v>
      </c>
      <c r="B688" s="110"/>
      <c r="C688" s="110"/>
      <c r="D688" s="120" t="str">
        <f>IF(calculations!B3=3,"VEHICLE TYPE","")</f>
        <v/>
      </c>
      <c r="E688" s="115"/>
      <c r="F688" s="110"/>
      <c r="G688" s="110"/>
      <c r="H688" s="110"/>
      <c r="I688" s="110"/>
      <c r="J688" s="110"/>
      <c r="K688" s="263" t="str">
        <f>IF(calculations!B3=3,"- 12-PASSENGER OR OTHER EXTENDED VANS ARE CONSIDERED AS 15-PASSENGER VANS","")</f>
        <v/>
      </c>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25"/>
    </row>
    <row r="689" spans="1:47" ht="4.5" customHeight="1" x14ac:dyDescent="0.3">
      <c r="A689" s="116"/>
      <c r="B689" s="110"/>
      <c r="C689" s="110"/>
      <c r="D689" s="110"/>
      <c r="E689" s="115"/>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25"/>
    </row>
    <row r="690" spans="1:47" x14ac:dyDescent="0.3">
      <c r="A690" s="116" t="s">
        <v>1428</v>
      </c>
      <c r="B690" s="110"/>
      <c r="C690" s="1"/>
      <c r="D690" s="31"/>
      <c r="E690" s="32"/>
      <c r="F690" s="33"/>
      <c r="G690" s="31"/>
      <c r="H690" s="31"/>
      <c r="I690" s="31"/>
      <c r="J690" s="31"/>
      <c r="K690" s="241"/>
      <c r="L690" s="775" t="str">
        <f>IF(calculations!B3=3,"There are no owned or leased vehicles.","")</f>
        <v/>
      </c>
      <c r="M690" s="775"/>
      <c r="N690" s="775"/>
      <c r="O690" s="775"/>
      <c r="P690" s="775"/>
      <c r="Q690" s="775"/>
      <c r="R690" s="775"/>
      <c r="S690" s="775"/>
      <c r="T690" s="775"/>
      <c r="U690" s="775"/>
      <c r="V690" s="775"/>
      <c r="W690" s="775"/>
      <c r="X690" s="775"/>
      <c r="Y690" s="775"/>
      <c r="Z690" s="775"/>
      <c r="AA690" s="775"/>
      <c r="AB690" s="775"/>
      <c r="AC690" s="775"/>
      <c r="AD690" s="775"/>
      <c r="AE690" s="775"/>
      <c r="AF690" s="775"/>
      <c r="AG690" s="775"/>
      <c r="AH690" s="775"/>
      <c r="AI690" s="775"/>
      <c r="AJ690" s="775"/>
      <c r="AK690" s="775"/>
      <c r="AL690" s="775"/>
      <c r="AM690" s="775"/>
      <c r="AN690" s="775"/>
      <c r="AO690" s="775"/>
      <c r="AP690" s="775"/>
      <c r="AQ690" s="775"/>
      <c r="AR690" s="775"/>
      <c r="AS690" s="125"/>
    </row>
    <row r="691" spans="1:47" s="110" customFormat="1" ht="4.5" customHeight="1" x14ac:dyDescent="0.3">
      <c r="A691" s="116"/>
      <c r="C691" s="1"/>
      <c r="D691" s="31"/>
      <c r="E691" s="34"/>
      <c r="F691" s="31"/>
      <c r="G691" s="31"/>
      <c r="H691" s="31"/>
      <c r="I691" s="31"/>
      <c r="J691" s="31"/>
      <c r="K691" s="241"/>
      <c r="L691" s="241"/>
      <c r="M691" s="241"/>
      <c r="N691" s="241"/>
      <c r="O691" s="241"/>
      <c r="P691" s="241"/>
      <c r="Q691" s="241"/>
      <c r="R691" s="241"/>
      <c r="S691" s="241"/>
      <c r="T691" s="241"/>
      <c r="U691" s="241"/>
      <c r="V691" s="241"/>
      <c r="W691" s="241"/>
      <c r="X691" s="241"/>
      <c r="Y691" s="241"/>
      <c r="Z691" s="241"/>
      <c r="AA691" s="241"/>
      <c r="AB691" s="241"/>
      <c r="AC691" s="241"/>
      <c r="AD691" s="241"/>
      <c r="AE691" s="241"/>
      <c r="AF691" s="241"/>
      <c r="AG691" s="241"/>
      <c r="AH691" s="241"/>
      <c r="AI691" s="241"/>
      <c r="AJ691" s="241"/>
      <c r="AK691" s="241"/>
      <c r="AL691" s="241"/>
      <c r="AM691" s="241"/>
      <c r="AN691" s="241"/>
      <c r="AO691" s="241"/>
      <c r="AP691" s="241"/>
      <c r="AQ691" s="241"/>
      <c r="AR691" s="241"/>
      <c r="AT691" s="111"/>
    </row>
    <row r="692" spans="1:47" s="110" customFormat="1" ht="27" customHeight="1" x14ac:dyDescent="0.3">
      <c r="A692" s="116" t="s">
        <v>1429</v>
      </c>
      <c r="C692" s="1"/>
      <c r="D692" s="31"/>
      <c r="E692" s="32"/>
      <c r="F692" s="33"/>
      <c r="G692" s="31"/>
      <c r="H692" s="31"/>
      <c r="I692" s="31"/>
      <c r="J692" s="31"/>
      <c r="K692" s="241"/>
      <c r="L692" s="775" t="str">
        <f>IF(calculations!B3=3,"People are only transported in full sized or mini-school buses with duallies, mini-vans, or cars regardless of who owns the vehicle (i.e., whether it is owned, leased, rented, or borrowed).","")</f>
        <v/>
      </c>
      <c r="M692" s="775"/>
      <c r="N692" s="775"/>
      <c r="O692" s="775"/>
      <c r="P692" s="775"/>
      <c r="Q692" s="775"/>
      <c r="R692" s="775"/>
      <c r="S692" s="775"/>
      <c r="T692" s="775"/>
      <c r="U692" s="775"/>
      <c r="V692" s="775"/>
      <c r="W692" s="775"/>
      <c r="X692" s="775"/>
      <c r="Y692" s="775"/>
      <c r="Z692" s="775"/>
      <c r="AA692" s="775"/>
      <c r="AB692" s="775"/>
      <c r="AC692" s="775"/>
      <c r="AD692" s="775"/>
      <c r="AE692" s="775"/>
      <c r="AF692" s="775"/>
      <c r="AG692" s="775"/>
      <c r="AH692" s="775"/>
      <c r="AI692" s="775"/>
      <c r="AJ692" s="775"/>
      <c r="AK692" s="775"/>
      <c r="AL692" s="775"/>
      <c r="AM692" s="775"/>
      <c r="AN692" s="775"/>
      <c r="AO692" s="775"/>
      <c r="AP692" s="775"/>
      <c r="AQ692" s="775"/>
      <c r="AR692" s="775"/>
      <c r="AT692" s="111"/>
    </row>
    <row r="693" spans="1:47" s="110" customFormat="1" ht="4.5" customHeight="1" x14ac:dyDescent="0.3">
      <c r="A693" s="116"/>
      <c r="C693" s="1"/>
      <c r="D693" s="31"/>
      <c r="E693" s="32"/>
      <c r="F693" s="33"/>
      <c r="G693" s="31"/>
      <c r="H693" s="31"/>
      <c r="I693" s="31"/>
      <c r="J693" s="31"/>
      <c r="K693" s="241"/>
      <c r="L693" s="241"/>
      <c r="M693" s="241"/>
      <c r="N693" s="241"/>
      <c r="O693" s="241"/>
      <c r="P693" s="241"/>
      <c r="Q693" s="241"/>
      <c r="R693" s="241"/>
      <c r="S693" s="241"/>
      <c r="T693" s="241"/>
      <c r="U693" s="241"/>
      <c r="V693" s="241"/>
      <c r="W693" s="241"/>
      <c r="X693" s="241"/>
      <c r="Y693" s="241"/>
      <c r="Z693" s="241"/>
      <c r="AA693" s="241"/>
      <c r="AB693" s="241"/>
      <c r="AC693" s="241"/>
      <c r="AD693" s="241"/>
      <c r="AE693" s="241"/>
      <c r="AF693" s="241"/>
      <c r="AG693" s="241"/>
      <c r="AH693" s="241"/>
      <c r="AI693" s="241"/>
      <c r="AJ693" s="241"/>
      <c r="AK693" s="241"/>
      <c r="AL693" s="241"/>
      <c r="AM693" s="241"/>
      <c r="AN693" s="241"/>
      <c r="AO693" s="241"/>
      <c r="AP693" s="241"/>
      <c r="AQ693" s="241"/>
      <c r="AR693" s="241"/>
      <c r="AT693" s="111"/>
    </row>
    <row r="694" spans="1:47" s="110" customFormat="1" ht="50.25" customHeight="1" x14ac:dyDescent="0.3">
      <c r="A694" s="116" t="s">
        <v>1430</v>
      </c>
      <c r="C694" s="1"/>
      <c r="D694" s="31"/>
      <c r="E694" s="34"/>
      <c r="F694" s="31"/>
      <c r="G694" s="31"/>
      <c r="H694" s="31"/>
      <c r="I694" s="31"/>
      <c r="J694" s="31"/>
      <c r="K694" s="241"/>
      <c r="L694" s="775" t="str">
        <f>IF(calculations!B3=3,forms!A222,"")</f>
        <v/>
      </c>
      <c r="M694" s="775"/>
      <c r="N694" s="775"/>
      <c r="O694" s="775"/>
      <c r="P694" s="775"/>
      <c r="Q694" s="775"/>
      <c r="R694" s="775"/>
      <c r="S694" s="775"/>
      <c r="T694" s="775"/>
      <c r="U694" s="775"/>
      <c r="V694" s="775"/>
      <c r="W694" s="775"/>
      <c r="X694" s="775"/>
      <c r="Y694" s="775"/>
      <c r="Z694" s="775"/>
      <c r="AA694" s="775"/>
      <c r="AB694" s="775"/>
      <c r="AC694" s="775"/>
      <c r="AD694" s="775"/>
      <c r="AE694" s="775"/>
      <c r="AF694" s="775"/>
      <c r="AG694" s="775"/>
      <c r="AH694" s="775"/>
      <c r="AI694" s="775"/>
      <c r="AJ694" s="775"/>
      <c r="AK694" s="775"/>
      <c r="AL694" s="775"/>
      <c r="AM694" s="775"/>
      <c r="AN694" s="775"/>
      <c r="AO694" s="775"/>
      <c r="AP694" s="775"/>
      <c r="AQ694" s="775"/>
      <c r="AR694" s="775"/>
      <c r="AT694" s="111"/>
    </row>
    <row r="695" spans="1:47" s="110" customFormat="1" ht="4.5" customHeight="1" x14ac:dyDescent="0.3">
      <c r="A695" s="116"/>
      <c r="C695" s="1"/>
      <c r="D695" s="31"/>
      <c r="E695" s="34"/>
      <c r="F695" s="31"/>
      <c r="G695" s="31"/>
      <c r="H695" s="31"/>
      <c r="I695" s="31"/>
      <c r="J695" s="31"/>
      <c r="K695" s="241"/>
      <c r="L695" s="241"/>
      <c r="M695" s="241"/>
      <c r="N695" s="241"/>
      <c r="O695" s="241"/>
      <c r="P695" s="241"/>
      <c r="Q695" s="241"/>
      <c r="R695" s="241"/>
      <c r="S695" s="241"/>
      <c r="T695" s="241"/>
      <c r="U695" s="241"/>
      <c r="V695" s="241"/>
      <c r="W695" s="241"/>
      <c r="X695" s="241"/>
      <c r="Y695" s="241"/>
      <c r="Z695" s="241"/>
      <c r="AA695" s="241"/>
      <c r="AB695" s="241"/>
      <c r="AC695" s="241"/>
      <c r="AD695" s="241"/>
      <c r="AE695" s="241"/>
      <c r="AF695" s="241"/>
      <c r="AG695" s="241"/>
      <c r="AH695" s="241"/>
      <c r="AI695" s="241"/>
      <c r="AJ695" s="241"/>
      <c r="AK695" s="241"/>
      <c r="AL695" s="241"/>
      <c r="AM695" s="241"/>
      <c r="AN695" s="241"/>
      <c r="AO695" s="241"/>
      <c r="AP695" s="241"/>
      <c r="AQ695" s="241"/>
      <c r="AR695" s="241"/>
      <c r="AT695" s="111"/>
    </row>
    <row r="696" spans="1:47" s="110" customFormat="1" ht="62.25" customHeight="1" x14ac:dyDescent="0.3">
      <c r="A696" s="116" t="s">
        <v>1431</v>
      </c>
      <c r="C696" s="1"/>
      <c r="D696" s="31"/>
      <c r="E696" s="32"/>
      <c r="F696" s="33"/>
      <c r="G696" s="31"/>
      <c r="H696" s="31"/>
      <c r="I696" s="31"/>
      <c r="J696" s="31"/>
      <c r="K696" s="241"/>
      <c r="L696" s="775" t="str">
        <f>IF(calculations!B3=3,forms!A223,"")</f>
        <v/>
      </c>
      <c r="M696" s="775"/>
      <c r="N696" s="775"/>
      <c r="O696" s="775"/>
      <c r="P696" s="775"/>
      <c r="Q696" s="775"/>
      <c r="R696" s="775"/>
      <c r="S696" s="775"/>
      <c r="T696" s="775"/>
      <c r="U696" s="775"/>
      <c r="V696" s="775"/>
      <c r="W696" s="775"/>
      <c r="X696" s="775"/>
      <c r="Y696" s="775"/>
      <c r="Z696" s="775"/>
      <c r="AA696" s="775"/>
      <c r="AB696" s="775"/>
      <c r="AC696" s="775"/>
      <c r="AD696" s="775"/>
      <c r="AE696" s="775"/>
      <c r="AF696" s="775"/>
      <c r="AG696" s="775"/>
      <c r="AH696" s="775"/>
      <c r="AI696" s="775"/>
      <c r="AJ696" s="775"/>
      <c r="AK696" s="775"/>
      <c r="AL696" s="775"/>
      <c r="AM696" s="775"/>
      <c r="AN696" s="775"/>
      <c r="AO696" s="775"/>
      <c r="AP696" s="775"/>
      <c r="AQ696" s="775"/>
      <c r="AR696" s="775"/>
      <c r="AT696" s="111"/>
    </row>
    <row r="697" spans="1:47" s="110" customFormat="1" ht="4.5" customHeight="1" x14ac:dyDescent="0.3">
      <c r="A697" s="116"/>
      <c r="C697" s="1"/>
      <c r="D697" s="1"/>
      <c r="E697" s="35"/>
      <c r="F697" s="1"/>
      <c r="G697" s="1"/>
      <c r="H697" s="1"/>
      <c r="I697" s="1"/>
      <c r="J697" s="1"/>
      <c r="K697" s="241"/>
      <c r="L697" s="241"/>
      <c r="M697" s="241"/>
      <c r="N697" s="241"/>
      <c r="O697" s="241"/>
      <c r="P697" s="241"/>
      <c r="Q697" s="241"/>
      <c r="R697" s="241"/>
      <c r="S697" s="241"/>
      <c r="T697" s="241"/>
      <c r="U697" s="241"/>
      <c r="V697" s="241"/>
      <c r="W697" s="241"/>
      <c r="X697" s="241"/>
      <c r="Y697" s="241"/>
      <c r="Z697" s="241"/>
      <c r="AA697" s="241"/>
      <c r="AB697" s="241"/>
      <c r="AC697" s="241"/>
      <c r="AD697" s="241"/>
      <c r="AE697" s="241"/>
      <c r="AF697" s="241"/>
      <c r="AG697" s="241"/>
      <c r="AH697" s="241"/>
      <c r="AI697" s="241"/>
      <c r="AJ697" s="241"/>
      <c r="AK697" s="241"/>
      <c r="AL697" s="241"/>
      <c r="AM697" s="241"/>
      <c r="AN697" s="241"/>
      <c r="AO697" s="241"/>
      <c r="AP697" s="241"/>
      <c r="AQ697" s="241"/>
      <c r="AR697" s="241"/>
      <c r="AT697" s="111"/>
    </row>
    <row r="698" spans="1:47" s="110" customFormat="1" ht="38.25" customHeight="1" x14ac:dyDescent="0.3">
      <c r="A698" s="116" t="s">
        <v>1432</v>
      </c>
      <c r="C698" s="1"/>
      <c r="D698" s="1"/>
      <c r="E698" s="11"/>
      <c r="F698" s="3"/>
      <c r="G698" s="1"/>
      <c r="H698" s="1"/>
      <c r="I698" s="1"/>
      <c r="J698" s="1"/>
      <c r="K698" s="241"/>
      <c r="L698" s="775" t="str">
        <f>IF(calculations!B3=3,"12- or 15-passenger vans are or may be used either without modifications or restrictions or with modifications or restrictions that do not meet TRG standards; lack of any specified controls also falls in this category.","")</f>
        <v/>
      </c>
      <c r="M698" s="775"/>
      <c r="N698" s="775"/>
      <c r="O698" s="775"/>
      <c r="P698" s="775"/>
      <c r="Q698" s="775"/>
      <c r="R698" s="775"/>
      <c r="S698" s="775"/>
      <c r="T698" s="775"/>
      <c r="U698" s="775"/>
      <c r="V698" s="775"/>
      <c r="W698" s="775"/>
      <c r="X698" s="775"/>
      <c r="Y698" s="775"/>
      <c r="Z698" s="775"/>
      <c r="AA698" s="775"/>
      <c r="AB698" s="775"/>
      <c r="AC698" s="775"/>
      <c r="AD698" s="775"/>
      <c r="AE698" s="775"/>
      <c r="AF698" s="775"/>
      <c r="AG698" s="775"/>
      <c r="AH698" s="775"/>
      <c r="AI698" s="775"/>
      <c r="AJ698" s="775"/>
      <c r="AK698" s="775"/>
      <c r="AL698" s="775"/>
      <c r="AM698" s="775"/>
      <c r="AN698" s="775"/>
      <c r="AO698" s="775"/>
      <c r="AP698" s="775"/>
      <c r="AQ698" s="775"/>
      <c r="AR698" s="775"/>
      <c r="AT698" s="111"/>
    </row>
    <row r="699" spans="1:47" s="110" customFormat="1" ht="4.5" customHeight="1" x14ac:dyDescent="0.3">
      <c r="E699" s="118"/>
      <c r="F699" s="127"/>
      <c r="K699" s="241"/>
      <c r="L699" s="241"/>
      <c r="M699" s="241"/>
      <c r="N699" s="241"/>
      <c r="O699" s="241"/>
      <c r="P699" s="241"/>
      <c r="Q699" s="241"/>
      <c r="R699" s="241"/>
      <c r="S699" s="241"/>
      <c r="T699" s="241"/>
      <c r="U699" s="241"/>
      <c r="V699" s="241"/>
      <c r="W699" s="241"/>
      <c r="X699" s="241"/>
      <c r="Y699" s="241"/>
      <c r="Z699" s="241"/>
      <c r="AA699" s="241"/>
      <c r="AB699" s="241"/>
      <c r="AC699" s="241"/>
      <c r="AD699" s="241"/>
      <c r="AE699" s="241"/>
      <c r="AF699" s="241"/>
      <c r="AG699" s="241"/>
      <c r="AH699" s="241"/>
      <c r="AI699" s="241"/>
      <c r="AJ699" s="241"/>
      <c r="AK699" s="241"/>
      <c r="AL699" s="241"/>
      <c r="AM699" s="241"/>
      <c r="AN699" s="241"/>
      <c r="AO699" s="241"/>
      <c r="AP699" s="241"/>
      <c r="AQ699" s="241"/>
      <c r="AR699" s="241"/>
      <c r="AT699" s="111"/>
    </row>
    <row r="700" spans="1:47" s="110" customFormat="1" x14ac:dyDescent="0.3">
      <c r="E700" s="115"/>
      <c r="F700" s="116" t="str">
        <f>IF(calculations!B3=3,"COMMENTS","")</f>
        <v/>
      </c>
      <c r="J700" s="755" t="str">
        <f>IF(calculations!M189,"describe corrective action proposed to correct any Red Flag or Yellow Flag ranking",IF(calculations!N189,"describe corrective action proposed to correct any Red Flag or Yellow Flag ranking",""))</f>
        <v/>
      </c>
      <c r="K700" s="756"/>
      <c r="L700" s="756"/>
      <c r="M700" s="756"/>
      <c r="N700" s="756"/>
      <c r="O700" s="756"/>
      <c r="P700" s="756"/>
      <c r="Q700" s="756"/>
      <c r="R700" s="756"/>
      <c r="S700" s="756"/>
      <c r="T700" s="756"/>
      <c r="U700" s="756"/>
      <c r="V700" s="756"/>
      <c r="W700" s="756"/>
      <c r="X700" s="756"/>
      <c r="Y700" s="756"/>
      <c r="Z700" s="756"/>
      <c r="AA700" s="756"/>
      <c r="AB700" s="756"/>
      <c r="AC700" s="756"/>
      <c r="AD700" s="756"/>
      <c r="AE700" s="756"/>
      <c r="AF700" s="756"/>
      <c r="AG700" s="756"/>
      <c r="AH700" s="756"/>
      <c r="AI700" s="756"/>
      <c r="AJ700" s="756"/>
      <c r="AK700" s="756"/>
      <c r="AL700" s="756"/>
      <c r="AM700" s="756"/>
      <c r="AN700" s="756"/>
      <c r="AO700" s="756"/>
      <c r="AP700" s="756"/>
      <c r="AQ700" s="756"/>
      <c r="AR700" s="757"/>
      <c r="AT700" s="111"/>
    </row>
    <row r="701" spans="1:47" s="110" customFormat="1" ht="4.5" customHeight="1" x14ac:dyDescent="0.3">
      <c r="E701" s="115"/>
      <c r="F701" s="116"/>
      <c r="I701" s="115"/>
      <c r="J701" s="314"/>
      <c r="K701" s="314"/>
      <c r="L701" s="314"/>
      <c r="M701" s="314"/>
      <c r="N701" s="314"/>
      <c r="O701" s="314"/>
      <c r="P701" s="314"/>
      <c r="Q701" s="314"/>
      <c r="R701" s="314"/>
      <c r="S701" s="314"/>
      <c r="T701" s="314"/>
      <c r="U701" s="314"/>
      <c r="V701" s="314"/>
      <c r="W701" s="314"/>
      <c r="X701" s="314"/>
      <c r="Y701" s="314"/>
      <c r="Z701" s="314"/>
      <c r="AA701" s="314"/>
      <c r="AB701" s="314"/>
      <c r="AC701" s="314"/>
      <c r="AD701" s="314"/>
      <c r="AE701" s="314"/>
      <c r="AF701" s="314"/>
      <c r="AG701" s="314"/>
      <c r="AH701" s="314"/>
      <c r="AI701" s="314"/>
      <c r="AJ701" s="314"/>
      <c r="AK701" s="314"/>
      <c r="AL701" s="314"/>
      <c r="AM701" s="314"/>
      <c r="AN701" s="314"/>
      <c r="AO701" s="314"/>
      <c r="AP701" s="314"/>
      <c r="AQ701" s="314"/>
      <c r="AR701" s="314"/>
      <c r="AS701" s="115"/>
      <c r="AT701" s="121"/>
      <c r="AU701" s="115"/>
    </row>
    <row r="702" spans="1:47" s="110" customFormat="1" ht="37.5" customHeight="1" x14ac:dyDescent="0.3">
      <c r="E702" s="115"/>
      <c r="F702" s="114" t="str">
        <f>IF(J702&gt;"","RECS","")</f>
        <v/>
      </c>
      <c r="J702" s="755" t="str">
        <f>IF(calculations!M189,Rec!D235,IF(calculations!N189,Rec!D236,""))</f>
        <v/>
      </c>
      <c r="K702" s="756"/>
      <c r="L702" s="756"/>
      <c r="M702" s="756"/>
      <c r="N702" s="756"/>
      <c r="O702" s="756"/>
      <c r="P702" s="756"/>
      <c r="Q702" s="756"/>
      <c r="R702" s="756"/>
      <c r="S702" s="756"/>
      <c r="T702" s="756"/>
      <c r="U702" s="756"/>
      <c r="V702" s="756"/>
      <c r="W702" s="756"/>
      <c r="X702" s="756"/>
      <c r="Y702" s="756"/>
      <c r="Z702" s="756"/>
      <c r="AA702" s="756"/>
      <c r="AB702" s="756"/>
      <c r="AC702" s="756"/>
      <c r="AD702" s="756"/>
      <c r="AE702" s="756"/>
      <c r="AF702" s="756"/>
      <c r="AG702" s="756"/>
      <c r="AH702" s="756"/>
      <c r="AI702" s="756"/>
      <c r="AJ702" s="756"/>
      <c r="AK702" s="756"/>
      <c r="AL702" s="756"/>
      <c r="AM702" s="756"/>
      <c r="AN702" s="756"/>
      <c r="AO702" s="756"/>
      <c r="AP702" s="756"/>
      <c r="AQ702" s="756"/>
      <c r="AR702" s="757"/>
      <c r="AT702" s="111"/>
    </row>
    <row r="703" spans="1:47" s="110" customFormat="1" x14ac:dyDescent="0.3">
      <c r="E703" s="115"/>
      <c r="F703" s="112"/>
      <c r="AT703" s="111"/>
    </row>
    <row r="704" spans="1:47" s="110" customFormat="1" ht="14.15" x14ac:dyDescent="0.35">
      <c r="A704" s="263" t="s">
        <v>1460</v>
      </c>
      <c r="D704" s="120" t="str">
        <f>IF(calculations!B3=3,"VEHICLE MAINTENANCE AND INSPECTION","")</f>
        <v/>
      </c>
      <c r="E704" s="115"/>
      <c r="AT704" s="111"/>
    </row>
    <row r="705" spans="1:46" s="110" customFormat="1" ht="4.5" customHeight="1" x14ac:dyDescent="0.3">
      <c r="A705" s="145"/>
      <c r="E705" s="115"/>
      <c r="AT705" s="111"/>
    </row>
    <row r="706" spans="1:46" s="110" customFormat="1" ht="13.5" customHeight="1" x14ac:dyDescent="0.3">
      <c r="A706" s="145" t="s">
        <v>1461</v>
      </c>
      <c r="C706" s="1"/>
      <c r="D706" s="31"/>
      <c r="E706" s="32"/>
      <c r="F706" s="33"/>
      <c r="G706" s="31"/>
      <c r="H706" s="31"/>
      <c r="I706" s="31"/>
      <c r="J706" s="215"/>
      <c r="K706" s="241"/>
      <c r="L706" s="775" t="str">
        <f>IF(calculations!B3=3,"There are no owned or leased vehicles.","")</f>
        <v/>
      </c>
      <c r="M706" s="775"/>
      <c r="N706" s="775"/>
      <c r="O706" s="775"/>
      <c r="P706" s="775"/>
      <c r="Q706" s="775"/>
      <c r="R706" s="775"/>
      <c r="S706" s="775"/>
      <c r="T706" s="775"/>
      <c r="U706" s="775"/>
      <c r="V706" s="775"/>
      <c r="W706" s="775"/>
      <c r="X706" s="775"/>
      <c r="Y706" s="775"/>
      <c r="Z706" s="775"/>
      <c r="AA706" s="775"/>
      <c r="AB706" s="775"/>
      <c r="AC706" s="775"/>
      <c r="AD706" s="775"/>
      <c r="AE706" s="775"/>
      <c r="AF706" s="775"/>
      <c r="AG706" s="775"/>
      <c r="AH706" s="775"/>
      <c r="AI706" s="775"/>
      <c r="AJ706" s="775"/>
      <c r="AK706" s="775"/>
      <c r="AL706" s="775"/>
      <c r="AM706" s="775"/>
      <c r="AN706" s="775"/>
      <c r="AO706" s="775"/>
      <c r="AP706" s="775"/>
      <c r="AQ706" s="775"/>
      <c r="AR706" s="775"/>
      <c r="AT706" s="111"/>
    </row>
    <row r="707" spans="1:46" s="110" customFormat="1" ht="4.5" customHeight="1" x14ac:dyDescent="0.3">
      <c r="A707" s="145"/>
      <c r="C707" s="1"/>
      <c r="D707" s="31"/>
      <c r="E707" s="34"/>
      <c r="F707" s="31"/>
      <c r="G707" s="31"/>
      <c r="H707" s="31"/>
      <c r="I707" s="31"/>
      <c r="J707" s="215"/>
      <c r="K707" s="241"/>
      <c r="L707" s="241"/>
      <c r="M707" s="241"/>
      <c r="N707" s="241"/>
      <c r="O707" s="241"/>
      <c r="P707" s="241"/>
      <c r="Q707" s="241"/>
      <c r="R707" s="241"/>
      <c r="S707" s="241"/>
      <c r="T707" s="241"/>
      <c r="U707" s="241"/>
      <c r="V707" s="241"/>
      <c r="W707" s="241"/>
      <c r="X707" s="241"/>
      <c r="Y707" s="241"/>
      <c r="Z707" s="241"/>
      <c r="AA707" s="241"/>
      <c r="AB707" s="241"/>
      <c r="AC707" s="241"/>
      <c r="AD707" s="241"/>
      <c r="AE707" s="241"/>
      <c r="AF707" s="241"/>
      <c r="AG707" s="241"/>
      <c r="AH707" s="241"/>
      <c r="AI707" s="241"/>
      <c r="AJ707" s="241"/>
      <c r="AK707" s="241"/>
      <c r="AL707" s="241"/>
      <c r="AM707" s="241"/>
      <c r="AN707" s="241"/>
      <c r="AO707" s="241"/>
      <c r="AP707" s="241"/>
      <c r="AQ707" s="241"/>
      <c r="AR707" s="241"/>
      <c r="AT707" s="111"/>
    </row>
    <row r="708" spans="1:46" s="110" customFormat="1" ht="49.5" customHeight="1" x14ac:dyDescent="0.3">
      <c r="A708" s="145" t="s">
        <v>1462</v>
      </c>
      <c r="C708" s="1"/>
      <c r="D708" s="31"/>
      <c r="E708" s="32"/>
      <c r="F708" s="33"/>
      <c r="G708" s="31"/>
      <c r="H708" s="31"/>
      <c r="I708" s="31"/>
      <c r="J708" s="215"/>
      <c r="K708" s="241"/>
      <c r="L708" s="775" t="str">
        <f>IF(calculations!B3=3,forms!A224,"")</f>
        <v/>
      </c>
      <c r="M708" s="775"/>
      <c r="N708" s="775"/>
      <c r="O708" s="775"/>
      <c r="P708" s="775"/>
      <c r="Q708" s="775"/>
      <c r="R708" s="775"/>
      <c r="S708" s="775"/>
      <c r="T708" s="775"/>
      <c r="U708" s="775"/>
      <c r="V708" s="775"/>
      <c r="W708" s="775"/>
      <c r="X708" s="775"/>
      <c r="Y708" s="775"/>
      <c r="Z708" s="775"/>
      <c r="AA708" s="775"/>
      <c r="AB708" s="775"/>
      <c r="AC708" s="775"/>
      <c r="AD708" s="775"/>
      <c r="AE708" s="775"/>
      <c r="AF708" s="775"/>
      <c r="AG708" s="775"/>
      <c r="AH708" s="775"/>
      <c r="AI708" s="775"/>
      <c r="AJ708" s="775"/>
      <c r="AK708" s="775"/>
      <c r="AL708" s="775"/>
      <c r="AM708" s="775"/>
      <c r="AN708" s="775"/>
      <c r="AO708" s="775"/>
      <c r="AP708" s="775"/>
      <c r="AQ708" s="775"/>
      <c r="AR708" s="775"/>
      <c r="AT708" s="111"/>
    </row>
    <row r="709" spans="1:46" s="110" customFormat="1" ht="4.5" customHeight="1" x14ac:dyDescent="0.3">
      <c r="A709" s="145"/>
      <c r="C709" s="1"/>
      <c r="D709" s="31"/>
      <c r="E709" s="32"/>
      <c r="F709" s="33"/>
      <c r="G709" s="31"/>
      <c r="H709" s="31"/>
      <c r="I709" s="31"/>
      <c r="J709" s="215"/>
      <c r="K709" s="241"/>
      <c r="L709" s="241"/>
      <c r="M709" s="241"/>
      <c r="N709" s="241"/>
      <c r="O709" s="241"/>
      <c r="P709" s="241"/>
      <c r="Q709" s="241"/>
      <c r="R709" s="241"/>
      <c r="S709" s="241"/>
      <c r="T709" s="241"/>
      <c r="U709" s="241"/>
      <c r="V709" s="241"/>
      <c r="W709" s="241"/>
      <c r="X709" s="241"/>
      <c r="Y709" s="241"/>
      <c r="Z709" s="241"/>
      <c r="AA709" s="241"/>
      <c r="AB709" s="241"/>
      <c r="AC709" s="241"/>
      <c r="AD709" s="241"/>
      <c r="AE709" s="241"/>
      <c r="AF709" s="241"/>
      <c r="AG709" s="241"/>
      <c r="AH709" s="241"/>
      <c r="AI709" s="241"/>
      <c r="AJ709" s="241"/>
      <c r="AK709" s="241"/>
      <c r="AL709" s="241"/>
      <c r="AM709" s="241"/>
      <c r="AN709" s="241"/>
      <c r="AO709" s="241"/>
      <c r="AP709" s="241"/>
      <c r="AQ709" s="241"/>
      <c r="AR709" s="241"/>
      <c r="AT709" s="111"/>
    </row>
    <row r="710" spans="1:46" s="110" customFormat="1" ht="38.25" customHeight="1" x14ac:dyDescent="0.3">
      <c r="A710" s="145" t="s">
        <v>1463</v>
      </c>
      <c r="C710" s="1"/>
      <c r="D710" s="31"/>
      <c r="E710" s="34"/>
      <c r="F710" s="31"/>
      <c r="G710" s="31"/>
      <c r="H710" s="31"/>
      <c r="I710" s="31"/>
      <c r="J710" s="215"/>
      <c r="K710" s="241"/>
      <c r="L710" s="775" t="str">
        <f>IF(calculations!B3=3,"1) GOLD MEDAL plus a documented preventative maintenance program for all vehicles that transport people plus documented weekly inspections of vehicles. 
2) A local staff member oversees the vehicles at the branch level.","")</f>
        <v/>
      </c>
      <c r="M710" s="775"/>
      <c r="N710" s="775"/>
      <c r="O710" s="775"/>
      <c r="P710" s="775"/>
      <c r="Q710" s="775"/>
      <c r="R710" s="775"/>
      <c r="S710" s="775"/>
      <c r="T710" s="775"/>
      <c r="U710" s="775"/>
      <c r="V710" s="775"/>
      <c r="W710" s="775"/>
      <c r="X710" s="775"/>
      <c r="Y710" s="775"/>
      <c r="Z710" s="775"/>
      <c r="AA710" s="775"/>
      <c r="AB710" s="775"/>
      <c r="AC710" s="775"/>
      <c r="AD710" s="775"/>
      <c r="AE710" s="775"/>
      <c r="AF710" s="775"/>
      <c r="AG710" s="775"/>
      <c r="AH710" s="775"/>
      <c r="AI710" s="775"/>
      <c r="AJ710" s="775"/>
      <c r="AK710" s="775"/>
      <c r="AL710" s="775"/>
      <c r="AM710" s="775"/>
      <c r="AN710" s="775"/>
      <c r="AO710" s="775"/>
      <c r="AP710" s="775"/>
      <c r="AQ710" s="775"/>
      <c r="AR710" s="775"/>
      <c r="AT710" s="111"/>
    </row>
    <row r="711" spans="1:46" s="110" customFormat="1" ht="4.5" customHeight="1" x14ac:dyDescent="0.3">
      <c r="A711" s="145"/>
      <c r="C711" s="1"/>
      <c r="D711" s="31"/>
      <c r="E711" s="34"/>
      <c r="F711" s="31"/>
      <c r="G711" s="31"/>
      <c r="H711" s="31"/>
      <c r="I711" s="31"/>
      <c r="J711" s="215"/>
      <c r="K711" s="241"/>
      <c r="L711" s="241"/>
      <c r="M711" s="241"/>
      <c r="N711" s="241"/>
      <c r="O711" s="241"/>
      <c r="P711" s="241"/>
      <c r="Q711" s="241"/>
      <c r="R711" s="241"/>
      <c r="S711" s="241"/>
      <c r="T711" s="241"/>
      <c r="U711" s="241"/>
      <c r="V711" s="241"/>
      <c r="W711" s="241"/>
      <c r="X711" s="241"/>
      <c r="Y711" s="241"/>
      <c r="Z711" s="241"/>
      <c r="AA711" s="241"/>
      <c r="AB711" s="241"/>
      <c r="AC711" s="241"/>
      <c r="AD711" s="241"/>
      <c r="AE711" s="241"/>
      <c r="AF711" s="241"/>
      <c r="AG711" s="241"/>
      <c r="AH711" s="241"/>
      <c r="AI711" s="241"/>
      <c r="AJ711" s="241"/>
      <c r="AK711" s="241"/>
      <c r="AL711" s="241"/>
      <c r="AM711" s="241"/>
      <c r="AN711" s="241"/>
      <c r="AO711" s="241"/>
      <c r="AP711" s="241"/>
      <c r="AQ711" s="241"/>
      <c r="AR711" s="241"/>
      <c r="AT711" s="111"/>
    </row>
    <row r="712" spans="1:46" s="110" customFormat="1" ht="27" customHeight="1" x14ac:dyDescent="0.3">
      <c r="A712" s="145" t="s">
        <v>1464</v>
      </c>
      <c r="C712" s="1"/>
      <c r="D712" s="31"/>
      <c r="E712" s="32"/>
      <c r="F712" s="33"/>
      <c r="G712" s="31"/>
      <c r="H712" s="31"/>
      <c r="I712" s="31"/>
      <c r="J712" s="215"/>
      <c r="K712" s="241"/>
      <c r="L712" s="775" t="str">
        <f>IF(calculations!B3=3,"1) Documented service that meets manufacturer’s guidelines and applicable statutes.  
2) Safety inspections that meet all applicable statutes (e.g., annual safety check).","")</f>
        <v/>
      </c>
      <c r="M712" s="775"/>
      <c r="N712" s="775"/>
      <c r="O712" s="775"/>
      <c r="P712" s="775"/>
      <c r="Q712" s="775"/>
      <c r="R712" s="775"/>
      <c r="S712" s="775"/>
      <c r="T712" s="775"/>
      <c r="U712" s="775"/>
      <c r="V712" s="775"/>
      <c r="W712" s="775"/>
      <c r="X712" s="775"/>
      <c r="Y712" s="775"/>
      <c r="Z712" s="775"/>
      <c r="AA712" s="775"/>
      <c r="AB712" s="775"/>
      <c r="AC712" s="775"/>
      <c r="AD712" s="775"/>
      <c r="AE712" s="775"/>
      <c r="AF712" s="775"/>
      <c r="AG712" s="775"/>
      <c r="AH712" s="775"/>
      <c r="AI712" s="775"/>
      <c r="AJ712" s="775"/>
      <c r="AK712" s="775"/>
      <c r="AL712" s="775"/>
      <c r="AM712" s="775"/>
      <c r="AN712" s="775"/>
      <c r="AO712" s="775"/>
      <c r="AP712" s="775"/>
      <c r="AQ712" s="775"/>
      <c r="AR712" s="775"/>
      <c r="AT712" s="111"/>
    </row>
    <row r="713" spans="1:46" s="110" customFormat="1" ht="4.5" customHeight="1" x14ac:dyDescent="0.3">
      <c r="A713" s="145"/>
      <c r="C713" s="1"/>
      <c r="D713" s="1"/>
      <c r="E713" s="35"/>
      <c r="F713" s="1"/>
      <c r="G713" s="1"/>
      <c r="H713" s="1"/>
      <c r="I713" s="1"/>
      <c r="J713" s="214"/>
      <c r="K713" s="241"/>
      <c r="L713" s="241"/>
      <c r="M713" s="241"/>
      <c r="N713" s="241"/>
      <c r="O713" s="241"/>
      <c r="P713" s="241"/>
      <c r="Q713" s="241"/>
      <c r="R713" s="241"/>
      <c r="S713" s="241"/>
      <c r="T713" s="241"/>
      <c r="U713" s="241"/>
      <c r="V713" s="241"/>
      <c r="W713" s="241"/>
      <c r="X713" s="241"/>
      <c r="Y713" s="241"/>
      <c r="Z713" s="241"/>
      <c r="AA713" s="241"/>
      <c r="AB713" s="241"/>
      <c r="AC713" s="241"/>
      <c r="AD713" s="241"/>
      <c r="AE713" s="241"/>
      <c r="AF713" s="241"/>
      <c r="AG713" s="241"/>
      <c r="AH713" s="241"/>
      <c r="AI713" s="241"/>
      <c r="AJ713" s="241"/>
      <c r="AK713" s="241"/>
      <c r="AL713" s="241"/>
      <c r="AM713" s="241"/>
      <c r="AN713" s="241"/>
      <c r="AO713" s="241"/>
      <c r="AP713" s="241"/>
      <c r="AQ713" s="241"/>
      <c r="AR713" s="241"/>
      <c r="AT713" s="111"/>
    </row>
    <row r="714" spans="1:46" s="110" customFormat="1" ht="26.25" customHeight="1" x14ac:dyDescent="0.3">
      <c r="A714" s="145" t="s">
        <v>1465</v>
      </c>
      <c r="C714" s="1"/>
      <c r="D714" s="1"/>
      <c r="E714" s="11"/>
      <c r="F714" s="3"/>
      <c r="G714" s="1"/>
      <c r="H714" s="1"/>
      <c r="I714" s="1"/>
      <c r="J714" s="214"/>
      <c r="K714" s="241"/>
      <c r="L714" s="775" t="str">
        <f>IF(calculations!B3=3,"Undocumented service that approximates manufacturer’s guidelines and/or informal, irregular, or undocumented vehicle inspections.","")</f>
        <v/>
      </c>
      <c r="M714" s="775"/>
      <c r="N714" s="775"/>
      <c r="O714" s="775"/>
      <c r="P714" s="775"/>
      <c r="Q714" s="775"/>
      <c r="R714" s="775"/>
      <c r="S714" s="775"/>
      <c r="T714" s="775"/>
      <c r="U714" s="775"/>
      <c r="V714" s="775"/>
      <c r="W714" s="775"/>
      <c r="X714" s="775"/>
      <c r="Y714" s="775"/>
      <c r="Z714" s="775"/>
      <c r="AA714" s="775"/>
      <c r="AB714" s="775"/>
      <c r="AC714" s="775"/>
      <c r="AD714" s="775"/>
      <c r="AE714" s="775"/>
      <c r="AF714" s="775"/>
      <c r="AG714" s="775"/>
      <c r="AH714" s="775"/>
      <c r="AI714" s="775"/>
      <c r="AJ714" s="775"/>
      <c r="AK714" s="775"/>
      <c r="AL714" s="775"/>
      <c r="AM714" s="775"/>
      <c r="AN714" s="775"/>
      <c r="AO714" s="775"/>
      <c r="AP714" s="775"/>
      <c r="AQ714" s="775"/>
      <c r="AR714" s="775"/>
      <c r="AT714" s="111"/>
    </row>
    <row r="715" spans="1:46" s="110" customFormat="1" ht="4.5" customHeight="1" x14ac:dyDescent="0.3">
      <c r="A715" s="145"/>
      <c r="C715" s="1"/>
      <c r="D715" s="1"/>
      <c r="E715" s="11"/>
      <c r="F715" s="1"/>
      <c r="G715" s="1"/>
      <c r="H715" s="1"/>
      <c r="I715" s="1"/>
      <c r="J715" s="214"/>
      <c r="K715" s="241"/>
      <c r="L715" s="241"/>
      <c r="M715" s="241"/>
      <c r="N715" s="241"/>
      <c r="O715" s="241"/>
      <c r="P715" s="241"/>
      <c r="Q715" s="241"/>
      <c r="R715" s="241"/>
      <c r="S715" s="241"/>
      <c r="T715" s="241"/>
      <c r="U715" s="241"/>
      <c r="V715" s="241"/>
      <c r="W715" s="241"/>
      <c r="X715" s="241"/>
      <c r="Y715" s="241"/>
      <c r="Z715" s="241"/>
      <c r="AA715" s="241"/>
      <c r="AB715" s="241"/>
      <c r="AC715" s="241"/>
      <c r="AD715" s="241"/>
      <c r="AE715" s="241"/>
      <c r="AF715" s="241"/>
      <c r="AG715" s="241"/>
      <c r="AH715" s="241"/>
      <c r="AI715" s="241"/>
      <c r="AJ715" s="241"/>
      <c r="AK715" s="241"/>
      <c r="AL715" s="241"/>
      <c r="AM715" s="241"/>
      <c r="AN715" s="241"/>
      <c r="AO715" s="241"/>
      <c r="AP715" s="241"/>
      <c r="AQ715" s="241"/>
      <c r="AR715" s="241"/>
      <c r="AT715" s="111"/>
    </row>
    <row r="716" spans="1:46" s="110" customFormat="1" ht="24.75" customHeight="1" x14ac:dyDescent="0.3">
      <c r="A716" s="145" t="s">
        <v>1466</v>
      </c>
      <c r="C716" s="1"/>
      <c r="D716" s="39"/>
      <c r="E716" s="44"/>
      <c r="F716" s="39"/>
      <c r="G716" s="39"/>
      <c r="H716" s="39"/>
      <c r="I716" s="39"/>
      <c r="J716" s="218"/>
      <c r="K716" s="241"/>
      <c r="L716" s="775" t="str">
        <f>IF(calculations!B3=3,"Vehicle inspections or maintenance are not addressed or are without specified criteria, policy, or procedures.","")</f>
        <v/>
      </c>
      <c r="M716" s="775"/>
      <c r="N716" s="775"/>
      <c r="O716" s="775"/>
      <c r="P716" s="775"/>
      <c r="Q716" s="775"/>
      <c r="R716" s="775"/>
      <c r="S716" s="775"/>
      <c r="T716" s="775"/>
      <c r="U716" s="775"/>
      <c r="V716" s="775"/>
      <c r="W716" s="775"/>
      <c r="X716" s="775"/>
      <c r="Y716" s="775"/>
      <c r="Z716" s="775"/>
      <c r="AA716" s="775"/>
      <c r="AB716" s="775"/>
      <c r="AC716" s="775"/>
      <c r="AD716" s="775"/>
      <c r="AE716" s="775"/>
      <c r="AF716" s="775"/>
      <c r="AG716" s="775"/>
      <c r="AH716" s="775"/>
      <c r="AI716" s="775"/>
      <c r="AJ716" s="775"/>
      <c r="AK716" s="775"/>
      <c r="AL716" s="775"/>
      <c r="AM716" s="775"/>
      <c r="AN716" s="775"/>
      <c r="AO716" s="775"/>
      <c r="AP716" s="775"/>
      <c r="AQ716" s="775"/>
      <c r="AR716" s="775"/>
      <c r="AT716" s="111"/>
    </row>
    <row r="717" spans="1:46" s="110" customFormat="1" ht="4.5" customHeight="1" x14ac:dyDescent="0.3">
      <c r="A717" s="116"/>
      <c r="E717" s="115"/>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s="241"/>
      <c r="AG717" s="241"/>
      <c r="AH717" s="241"/>
      <c r="AI717" s="241"/>
      <c r="AJ717" s="241"/>
      <c r="AK717" s="241"/>
      <c r="AL717" s="241"/>
      <c r="AM717" s="241"/>
      <c r="AN717" s="241"/>
      <c r="AO717" s="241"/>
      <c r="AP717" s="241"/>
      <c r="AQ717" s="241"/>
      <c r="AR717" s="241"/>
      <c r="AT717" s="111"/>
    </row>
    <row r="718" spans="1:46" s="110" customFormat="1" x14ac:dyDescent="0.3">
      <c r="A718" s="116"/>
      <c r="E718" s="115"/>
      <c r="F718" s="116" t="str">
        <f>IF(calculations!B3=3,"COMMENTS","")</f>
        <v/>
      </c>
      <c r="J718" s="755" t="str">
        <f>IF(calculations!M190,"describe corrective action proposed to correct any Red Flag or Yellow Flag ranking",IF(calculations!N190,"describe corrective action proposed to correct any Red Flag or Yellow Flag ranking",""))</f>
        <v/>
      </c>
      <c r="K718" s="756"/>
      <c r="L718" s="756"/>
      <c r="M718" s="756"/>
      <c r="N718" s="756"/>
      <c r="O718" s="756"/>
      <c r="P718" s="756"/>
      <c r="Q718" s="756"/>
      <c r="R718" s="756"/>
      <c r="S718" s="756"/>
      <c r="T718" s="756"/>
      <c r="U718" s="756"/>
      <c r="V718" s="756"/>
      <c r="W718" s="756"/>
      <c r="X718" s="756"/>
      <c r="Y718" s="756"/>
      <c r="Z718" s="756"/>
      <c r="AA718" s="756"/>
      <c r="AB718" s="756"/>
      <c r="AC718" s="756"/>
      <c r="AD718" s="756"/>
      <c r="AE718" s="756"/>
      <c r="AF718" s="756"/>
      <c r="AG718" s="756"/>
      <c r="AH718" s="756"/>
      <c r="AI718" s="756"/>
      <c r="AJ718" s="756"/>
      <c r="AK718" s="756"/>
      <c r="AL718" s="756"/>
      <c r="AM718" s="756"/>
      <c r="AN718" s="756"/>
      <c r="AO718" s="756"/>
      <c r="AP718" s="756"/>
      <c r="AQ718" s="756"/>
      <c r="AR718" s="757"/>
      <c r="AT718" s="111"/>
    </row>
    <row r="719" spans="1:46" s="110" customFormat="1" ht="4.5" customHeight="1" x14ac:dyDescent="0.3">
      <c r="A719" s="116"/>
      <c r="E719" s="115"/>
      <c r="F719" s="116"/>
      <c r="J719" s="315"/>
      <c r="K719" s="315"/>
      <c r="L719" s="315"/>
      <c r="M719" s="315"/>
      <c r="N719" s="315"/>
      <c r="O719" s="315"/>
      <c r="P719" s="315"/>
      <c r="Q719" s="315"/>
      <c r="R719" s="315"/>
      <c r="S719" s="315"/>
      <c r="T719" s="315"/>
      <c r="U719" s="315"/>
      <c r="V719" s="315"/>
      <c r="W719" s="315"/>
      <c r="X719" s="315"/>
      <c r="Y719" s="315"/>
      <c r="Z719" s="315"/>
      <c r="AA719" s="315"/>
      <c r="AB719" s="315"/>
      <c r="AC719" s="315"/>
      <c r="AD719" s="315"/>
      <c r="AE719" s="315"/>
      <c r="AF719" s="315"/>
      <c r="AG719" s="315"/>
      <c r="AH719" s="315"/>
      <c r="AI719" s="315"/>
      <c r="AJ719" s="315"/>
      <c r="AK719" s="315"/>
      <c r="AL719" s="315"/>
      <c r="AM719" s="315"/>
      <c r="AN719" s="315"/>
      <c r="AO719" s="315"/>
      <c r="AP719" s="315"/>
      <c r="AQ719" s="315"/>
      <c r="AR719" s="315"/>
      <c r="AT719" s="111"/>
    </row>
    <row r="720" spans="1:46" s="110" customFormat="1" ht="37.5" customHeight="1" x14ac:dyDescent="0.3">
      <c r="A720" s="116"/>
      <c r="E720" s="115"/>
      <c r="F720" s="114" t="str">
        <f>IF(calculations!G190=4,"OFE",IF(calculations!G190=5,"REC",IF(J720&gt;"","RECS","")))</f>
        <v/>
      </c>
      <c r="J720" s="755" t="str">
        <f>IF(calculations!M190,CONCATENATE("OFE:  ",Rec!D237),IF(calculations!N190,Rec!D238,""))</f>
        <v/>
      </c>
      <c r="K720" s="756"/>
      <c r="L720" s="756"/>
      <c r="M720" s="756"/>
      <c r="N720" s="756"/>
      <c r="O720" s="756"/>
      <c r="P720" s="756"/>
      <c r="Q720" s="756"/>
      <c r="R720" s="756"/>
      <c r="S720" s="756"/>
      <c r="T720" s="756"/>
      <c r="U720" s="756"/>
      <c r="V720" s="756"/>
      <c r="W720" s="756"/>
      <c r="X720" s="756"/>
      <c r="Y720" s="756"/>
      <c r="Z720" s="756"/>
      <c r="AA720" s="756"/>
      <c r="AB720" s="756"/>
      <c r="AC720" s="756"/>
      <c r="AD720" s="756"/>
      <c r="AE720" s="756"/>
      <c r="AF720" s="756"/>
      <c r="AG720" s="756"/>
      <c r="AH720" s="756"/>
      <c r="AI720" s="756"/>
      <c r="AJ720" s="756"/>
      <c r="AK720" s="756"/>
      <c r="AL720" s="756"/>
      <c r="AM720" s="756"/>
      <c r="AN720" s="756"/>
      <c r="AO720" s="756"/>
      <c r="AP720" s="756"/>
      <c r="AQ720" s="756"/>
      <c r="AR720" s="757"/>
      <c r="AT720" s="111"/>
    </row>
    <row r="721" spans="1:46" s="110" customFormat="1" x14ac:dyDescent="0.3">
      <c r="A721" s="116"/>
      <c r="E721" s="115"/>
      <c r="F721" s="112"/>
      <c r="AT721" s="111"/>
    </row>
    <row r="722" spans="1:46" ht="25.3" x14ac:dyDescent="0.6">
      <c r="A722" s="285" t="str">
        <f>IF(calculations!B3=3,"9","")</f>
        <v/>
      </c>
      <c r="B722" s="782" t="str">
        <f>IF(calculations!B3=3,"    COLLABORATIVE AGREEMENTS","")</f>
        <v/>
      </c>
      <c r="C722" s="782"/>
      <c r="D722" s="782"/>
      <c r="E722" s="782"/>
      <c r="F722" s="782"/>
      <c r="G722" s="782"/>
      <c r="H722" s="782"/>
      <c r="I722" s="782"/>
      <c r="J722" s="782"/>
      <c r="K722" s="782"/>
      <c r="L722" s="782"/>
      <c r="M722" s="782"/>
      <c r="N722" s="782"/>
      <c r="O722" s="782"/>
      <c r="P722" s="782"/>
      <c r="Q722" s="782"/>
      <c r="R722" s="782"/>
      <c r="S722" s="782"/>
      <c r="T722" s="782"/>
      <c r="U722" s="782"/>
      <c r="V722" s="782"/>
      <c r="W722" s="782"/>
      <c r="X722" s="782"/>
      <c r="Y722" s="782"/>
      <c r="Z722" s="782"/>
      <c r="AA722" s="782"/>
      <c r="AB722" s="782"/>
      <c r="AC722" s="782"/>
      <c r="AD722" s="782"/>
      <c r="AE722" s="782"/>
      <c r="AF722" s="782"/>
      <c r="AG722" s="782"/>
      <c r="AH722" s="782"/>
      <c r="AI722" s="782"/>
      <c r="AJ722" s="782"/>
      <c r="AK722" s="782"/>
      <c r="AL722" s="782"/>
      <c r="AM722" s="782"/>
      <c r="AN722" s="782"/>
      <c r="AO722" s="782"/>
      <c r="AP722" s="782"/>
      <c r="AQ722" s="782"/>
      <c r="AR722" s="782"/>
      <c r="AS722" s="125"/>
    </row>
    <row r="723" spans="1:46" x14ac:dyDescent="0.3">
      <c r="A723" s="116"/>
      <c r="B723" s="110"/>
      <c r="C723" s="110"/>
      <c r="D723" s="110"/>
      <c r="E723" s="110"/>
      <c r="F723" s="115"/>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691" t="str">
        <f>IF(calculations!B3=3,"GO TO TOP","")</f>
        <v/>
      </c>
      <c r="AD723" s="692"/>
      <c r="AE723" s="692"/>
      <c r="AF723" s="692"/>
      <c r="AG723" s="692"/>
      <c r="AH723" s="693"/>
      <c r="AI723" s="110"/>
      <c r="AJ723" s="691" t="str">
        <f>IF(calculations!B3=3,"UP ONE SECTION","")</f>
        <v/>
      </c>
      <c r="AK723" s="692"/>
      <c r="AL723" s="692"/>
      <c r="AM723" s="692"/>
      <c r="AN723" s="692"/>
      <c r="AO723" s="692"/>
      <c r="AP723" s="692"/>
      <c r="AQ723" s="692"/>
      <c r="AR723" s="693"/>
      <c r="AS723" s="125"/>
    </row>
    <row r="724" spans="1:46" x14ac:dyDescent="0.3">
      <c r="A724" s="116"/>
      <c r="B724" s="110"/>
      <c r="C724" s="110"/>
      <c r="D724" s="110"/>
      <c r="E724" s="115"/>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25"/>
    </row>
    <row r="725" spans="1:46" ht="14.15" x14ac:dyDescent="0.35">
      <c r="A725" s="286" t="s">
        <v>1433</v>
      </c>
      <c r="B725" s="110"/>
      <c r="C725" s="110"/>
      <c r="D725" s="120" t="str">
        <f>IF(calculations!B3=3,"WAIVERS","")</f>
        <v/>
      </c>
      <c r="E725" s="115"/>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25"/>
    </row>
    <row r="726" spans="1:46" ht="4.5" customHeight="1" x14ac:dyDescent="0.3">
      <c r="A726" s="116"/>
      <c r="B726" s="110"/>
      <c r="C726" s="110"/>
      <c r="D726" s="110"/>
      <c r="E726" s="115"/>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25"/>
    </row>
    <row r="727" spans="1:46" ht="36.75" customHeight="1" x14ac:dyDescent="0.3">
      <c r="A727" s="116" t="s">
        <v>1434</v>
      </c>
      <c r="B727" s="110"/>
      <c r="C727" s="110"/>
      <c r="D727" s="110"/>
      <c r="E727" s="115"/>
      <c r="F727" s="110"/>
      <c r="G727" s="110"/>
      <c r="H727" s="110"/>
      <c r="I727" s="110"/>
      <c r="J727" s="241"/>
      <c r="K727" s="241"/>
      <c r="L727" s="775" t="str">
        <f>IF(calculations!B3=3,forms!A225,"")</f>
        <v/>
      </c>
      <c r="M727" s="775"/>
      <c r="N727" s="775"/>
      <c r="O727" s="775"/>
      <c r="P727" s="775"/>
      <c r="Q727" s="775"/>
      <c r="R727" s="775"/>
      <c r="S727" s="775"/>
      <c r="T727" s="775"/>
      <c r="U727" s="775"/>
      <c r="V727" s="775"/>
      <c r="W727" s="775"/>
      <c r="X727" s="775"/>
      <c r="Y727" s="775"/>
      <c r="Z727" s="775"/>
      <c r="AA727" s="775"/>
      <c r="AB727" s="775"/>
      <c r="AC727" s="775"/>
      <c r="AD727" s="775"/>
      <c r="AE727" s="775"/>
      <c r="AF727" s="775"/>
      <c r="AG727" s="775"/>
      <c r="AH727" s="775"/>
      <c r="AI727" s="775"/>
      <c r="AJ727" s="775"/>
      <c r="AK727" s="775"/>
      <c r="AL727" s="775"/>
      <c r="AM727" s="775"/>
      <c r="AN727" s="775"/>
      <c r="AO727" s="775"/>
      <c r="AP727" s="775"/>
      <c r="AQ727" s="775"/>
      <c r="AR727" s="775"/>
      <c r="AS727" s="125"/>
    </row>
    <row r="728" spans="1:46" ht="4.5" customHeight="1" x14ac:dyDescent="0.3">
      <c r="A728" s="116"/>
      <c r="B728" s="110"/>
      <c r="C728" s="117"/>
      <c r="D728" s="117"/>
      <c r="E728" s="119"/>
      <c r="F728" s="117"/>
      <c r="G728" s="117"/>
      <c r="H728" s="117"/>
      <c r="I728" s="117"/>
      <c r="J728" s="258"/>
      <c r="K728" s="241"/>
      <c r="L728" s="241"/>
      <c r="M728" s="241"/>
      <c r="N728" s="241"/>
      <c r="O728" s="241"/>
      <c r="P728" s="241"/>
      <c r="Q728" s="241"/>
      <c r="R728" s="241"/>
      <c r="S728" s="241"/>
      <c r="T728" s="241"/>
      <c r="U728" s="241"/>
      <c r="V728" s="241"/>
      <c r="W728" s="241"/>
      <c r="X728" s="241"/>
      <c r="Y728" s="241"/>
      <c r="Z728" s="241"/>
      <c r="AA728" s="241"/>
      <c r="AB728" s="241"/>
      <c r="AC728" s="241"/>
      <c r="AD728" s="241"/>
      <c r="AE728" s="241"/>
      <c r="AF728" s="241"/>
      <c r="AG728" s="241"/>
      <c r="AH728" s="241"/>
      <c r="AI728" s="241"/>
      <c r="AJ728" s="241"/>
      <c r="AK728" s="241"/>
      <c r="AL728" s="241"/>
      <c r="AM728" s="241"/>
      <c r="AN728" s="241"/>
      <c r="AO728" s="241"/>
      <c r="AP728" s="241"/>
      <c r="AQ728" s="241"/>
      <c r="AR728" s="241"/>
      <c r="AS728" s="125"/>
    </row>
    <row r="729" spans="1:46" ht="109.5" customHeight="1" x14ac:dyDescent="0.3">
      <c r="A729" s="116" t="s">
        <v>1435</v>
      </c>
      <c r="B729" s="110"/>
      <c r="C729" s="117"/>
      <c r="D729" s="117"/>
      <c r="E729" s="119"/>
      <c r="F729" s="130"/>
      <c r="G729" s="265"/>
      <c r="H729" s="117"/>
      <c r="I729" s="117"/>
      <c r="J729" s="258"/>
      <c r="K729" s="241"/>
      <c r="L729" s="775" t="str">
        <f>IF(calculations!B3=3,CONCATENATE(forms!A226,forms!A227),"")</f>
        <v/>
      </c>
      <c r="M729" s="775"/>
      <c r="N729" s="775"/>
      <c r="O729" s="775"/>
      <c r="P729" s="775"/>
      <c r="Q729" s="775"/>
      <c r="R729" s="775"/>
      <c r="S729" s="775"/>
      <c r="T729" s="775"/>
      <c r="U729" s="775"/>
      <c r="V729" s="775"/>
      <c r="W729" s="775"/>
      <c r="X729" s="775"/>
      <c r="Y729" s="775"/>
      <c r="Z729" s="775"/>
      <c r="AA729" s="775"/>
      <c r="AB729" s="775"/>
      <c r="AC729" s="775"/>
      <c r="AD729" s="775"/>
      <c r="AE729" s="775"/>
      <c r="AF729" s="775"/>
      <c r="AG729" s="775"/>
      <c r="AH729" s="775"/>
      <c r="AI729" s="775"/>
      <c r="AJ729" s="775"/>
      <c r="AK729" s="775"/>
      <c r="AL729" s="775"/>
      <c r="AM729" s="775"/>
      <c r="AN729" s="775"/>
      <c r="AO729" s="775"/>
      <c r="AP729" s="775"/>
      <c r="AQ729" s="775"/>
      <c r="AR729" s="775"/>
      <c r="AS729" s="125"/>
    </row>
    <row r="730" spans="1:46" ht="49.5" customHeight="1" x14ac:dyDescent="0.3">
      <c r="A730" s="116" t="s">
        <v>1436</v>
      </c>
      <c r="B730" s="110"/>
      <c r="C730" s="110"/>
      <c r="D730" s="110"/>
      <c r="E730" s="128"/>
      <c r="G730" s="110"/>
      <c r="H730" s="110"/>
      <c r="I730" s="110"/>
      <c r="J730" s="241"/>
      <c r="K730" s="241"/>
      <c r="L730" s="775" t="str">
        <f>IF(calculations!B3=3,CONCATENATE(forms!A228,forms!A229,forms!A230),"")</f>
        <v/>
      </c>
      <c r="M730" s="775"/>
      <c r="N730" s="775"/>
      <c r="O730" s="775"/>
      <c r="P730" s="775"/>
      <c r="Q730" s="775"/>
      <c r="R730" s="775"/>
      <c r="S730" s="775"/>
      <c r="T730" s="775"/>
      <c r="U730" s="775"/>
      <c r="V730" s="775"/>
      <c r="W730" s="775"/>
      <c r="X730" s="775"/>
      <c r="Y730" s="775"/>
      <c r="Z730" s="775"/>
      <c r="AA730" s="775"/>
      <c r="AB730" s="775"/>
      <c r="AC730" s="775"/>
      <c r="AD730" s="775"/>
      <c r="AE730" s="775"/>
      <c r="AF730" s="775"/>
      <c r="AG730" s="775"/>
      <c r="AH730" s="775"/>
      <c r="AI730" s="775"/>
      <c r="AJ730" s="775"/>
      <c r="AK730" s="775"/>
      <c r="AL730" s="775"/>
      <c r="AM730" s="775"/>
      <c r="AN730" s="775"/>
      <c r="AO730" s="775"/>
      <c r="AP730" s="775"/>
      <c r="AQ730" s="775"/>
      <c r="AR730" s="775"/>
      <c r="AS730" s="125"/>
    </row>
    <row r="731" spans="1:46" ht="4.5" customHeight="1" x14ac:dyDescent="0.3">
      <c r="A731" s="116"/>
      <c r="B731" s="110"/>
      <c r="C731" s="110"/>
      <c r="D731" s="110"/>
      <c r="E731" s="115"/>
      <c r="F731" s="110"/>
      <c r="G731" s="110"/>
      <c r="H731" s="110"/>
      <c r="I731" s="110"/>
      <c r="J731" s="241"/>
      <c r="K731" s="241"/>
      <c r="L731" s="241"/>
      <c r="M731" s="241"/>
      <c r="N731" s="241"/>
      <c r="O731" s="241"/>
      <c r="P731" s="241"/>
      <c r="Q731" s="241"/>
      <c r="R731" s="241"/>
      <c r="S731" s="241"/>
      <c r="T731" s="241"/>
      <c r="U731" s="241"/>
      <c r="V731" s="241"/>
      <c r="W731" s="241"/>
      <c r="X731" s="241"/>
      <c r="Y731" s="241"/>
      <c r="Z731" s="241"/>
      <c r="AA731" s="241"/>
      <c r="AB731" s="241"/>
      <c r="AC731" s="241"/>
      <c r="AD731" s="241"/>
      <c r="AE731" s="241"/>
      <c r="AF731" s="241"/>
      <c r="AG731" s="241"/>
      <c r="AH731" s="241"/>
      <c r="AI731" s="241"/>
      <c r="AJ731" s="241"/>
      <c r="AK731" s="241"/>
      <c r="AL731" s="241"/>
      <c r="AM731" s="241"/>
      <c r="AN731" s="241"/>
      <c r="AO731" s="241"/>
      <c r="AP731" s="241"/>
      <c r="AQ731" s="241"/>
      <c r="AR731" s="241"/>
      <c r="AS731" s="125"/>
    </row>
    <row r="732" spans="1:46" x14ac:dyDescent="0.3">
      <c r="A732" s="116" t="s">
        <v>1437</v>
      </c>
      <c r="B732" s="110"/>
      <c r="C732" s="110"/>
      <c r="D732" s="110"/>
      <c r="E732" s="128"/>
      <c r="F732" s="127"/>
      <c r="G732" s="110"/>
      <c r="H732" s="110"/>
      <c r="I732" s="110"/>
      <c r="J732" s="241"/>
      <c r="K732" s="241"/>
      <c r="L732" s="775" t="str">
        <f>IF(calculations!B3=3,"An informal waiver, assumption of risk, or informed consent agreement is used.","")</f>
        <v/>
      </c>
      <c r="M732" s="775"/>
      <c r="N732" s="775"/>
      <c r="O732" s="775"/>
      <c r="P732" s="775"/>
      <c r="Q732" s="775"/>
      <c r="R732" s="775"/>
      <c r="S732" s="775"/>
      <c r="T732" s="775"/>
      <c r="U732" s="775"/>
      <c r="V732" s="775"/>
      <c r="W732" s="775"/>
      <c r="X732" s="775"/>
      <c r="Y732" s="775"/>
      <c r="Z732" s="775"/>
      <c r="AA732" s="775"/>
      <c r="AB732" s="775"/>
      <c r="AC732" s="775"/>
      <c r="AD732" s="775"/>
      <c r="AE732" s="775"/>
      <c r="AF732" s="775"/>
      <c r="AG732" s="775"/>
      <c r="AH732" s="775"/>
      <c r="AI732" s="775"/>
      <c r="AJ732" s="775"/>
      <c r="AK732" s="775"/>
      <c r="AL732" s="775"/>
      <c r="AM732" s="775"/>
      <c r="AN732" s="775"/>
      <c r="AO732" s="775"/>
      <c r="AP732" s="775"/>
      <c r="AQ732" s="775"/>
      <c r="AR732" s="775"/>
      <c r="AS732" s="125"/>
    </row>
    <row r="733" spans="1:46" ht="4.5" customHeight="1" x14ac:dyDescent="0.3">
      <c r="A733" s="116"/>
      <c r="B733" s="110"/>
      <c r="C733" s="110"/>
      <c r="D733" s="110"/>
      <c r="E733" s="115"/>
      <c r="F733" s="110"/>
      <c r="G733" s="110"/>
      <c r="H733" s="110"/>
      <c r="I733" s="110"/>
      <c r="J733" s="241"/>
      <c r="K733" s="241"/>
      <c r="L733" s="241"/>
      <c r="M733" s="241"/>
      <c r="N733" s="241"/>
      <c r="O733" s="241"/>
      <c r="P733" s="241"/>
      <c r="Q733" s="241"/>
      <c r="R733" s="241"/>
      <c r="S733" s="241"/>
      <c r="T733" s="241"/>
      <c r="U733" s="241"/>
      <c r="V733" s="241"/>
      <c r="W733" s="241"/>
      <c r="X733" s="241"/>
      <c r="Y733" s="241"/>
      <c r="Z733" s="241"/>
      <c r="AA733" s="241"/>
      <c r="AB733" s="241"/>
      <c r="AC733" s="241"/>
      <c r="AD733" s="241"/>
      <c r="AE733" s="241"/>
      <c r="AF733" s="241"/>
      <c r="AG733" s="241"/>
      <c r="AH733" s="241"/>
      <c r="AI733" s="241"/>
      <c r="AJ733" s="241"/>
      <c r="AK733" s="241"/>
      <c r="AL733" s="241"/>
      <c r="AM733" s="241"/>
      <c r="AN733" s="241"/>
      <c r="AO733" s="241"/>
      <c r="AP733" s="241"/>
      <c r="AQ733" s="241"/>
      <c r="AR733" s="241"/>
      <c r="AS733" s="125"/>
    </row>
    <row r="734" spans="1:46" ht="13.5" customHeight="1" x14ac:dyDescent="0.3">
      <c r="A734" s="116" t="s">
        <v>1438</v>
      </c>
      <c r="B734" s="110"/>
      <c r="C734" s="110"/>
      <c r="D734" s="110"/>
      <c r="E734" s="128"/>
      <c r="F734" s="127"/>
      <c r="G734" s="110"/>
      <c r="H734" s="110"/>
      <c r="I734" s="110"/>
      <c r="J734" s="241"/>
      <c r="K734" s="241"/>
      <c r="L734" s="775" t="str">
        <f>IF(calculations!B3=3,"Waivers, assumption of risk, or informed consent agreements are not required.","")</f>
        <v/>
      </c>
      <c r="M734" s="775"/>
      <c r="N734" s="775"/>
      <c r="O734" s="775"/>
      <c r="P734" s="775"/>
      <c r="Q734" s="775"/>
      <c r="R734" s="775"/>
      <c r="S734" s="775"/>
      <c r="T734" s="775"/>
      <c r="U734" s="775"/>
      <c r="V734" s="775"/>
      <c r="W734" s="775"/>
      <c r="X734" s="775"/>
      <c r="Y734" s="775"/>
      <c r="Z734" s="775"/>
      <c r="AA734" s="775"/>
      <c r="AB734" s="775"/>
      <c r="AC734" s="775"/>
      <c r="AD734" s="775"/>
      <c r="AE734" s="775"/>
      <c r="AF734" s="775"/>
      <c r="AG734" s="775"/>
      <c r="AH734" s="775"/>
      <c r="AI734" s="775"/>
      <c r="AJ734" s="775"/>
      <c r="AK734" s="775"/>
      <c r="AL734" s="775"/>
      <c r="AM734" s="775"/>
      <c r="AN734" s="775"/>
      <c r="AO734" s="775"/>
      <c r="AP734" s="775"/>
      <c r="AQ734" s="775"/>
      <c r="AR734" s="259"/>
      <c r="AS734" s="125"/>
    </row>
    <row r="735" spans="1:46" ht="8.25" customHeight="1" x14ac:dyDescent="0.3">
      <c r="A735" s="116"/>
      <c r="B735" s="110"/>
      <c r="C735" s="110"/>
      <c r="D735" s="110"/>
      <c r="E735" s="128"/>
      <c r="F735" s="127"/>
      <c r="G735" s="110"/>
      <c r="H735" s="110"/>
      <c r="I735" s="110"/>
      <c r="J735" s="241"/>
      <c r="K735" s="241"/>
      <c r="L735" s="259"/>
      <c r="M735" s="259"/>
      <c r="N735" s="259"/>
      <c r="O735" s="259"/>
      <c r="P735" s="259"/>
      <c r="Q735" s="259"/>
      <c r="R735" s="259"/>
      <c r="S735" s="259"/>
      <c r="T735" s="259"/>
      <c r="U735" s="259"/>
      <c r="V735" s="259"/>
      <c r="W735" s="259"/>
      <c r="X735" s="259"/>
      <c r="Y735" s="259"/>
      <c r="Z735" s="259"/>
      <c r="AA735" s="259"/>
      <c r="AB735" s="259"/>
      <c r="AC735" s="259"/>
      <c r="AD735" s="259"/>
      <c r="AE735" s="259"/>
      <c r="AF735" s="259"/>
      <c r="AG735" s="259"/>
      <c r="AH735" s="259"/>
      <c r="AI735" s="259"/>
      <c r="AJ735" s="259"/>
      <c r="AK735" s="259"/>
      <c r="AL735" s="259"/>
      <c r="AM735" s="259"/>
      <c r="AN735" s="259"/>
      <c r="AO735" s="259"/>
      <c r="AP735" s="259"/>
      <c r="AQ735" s="259"/>
      <c r="AR735" s="259"/>
      <c r="AS735" s="125"/>
    </row>
    <row r="736" spans="1:46" x14ac:dyDescent="0.3">
      <c r="A736" s="116" t="s">
        <v>1439</v>
      </c>
      <c r="B736" s="110"/>
      <c r="C736" s="110"/>
      <c r="D736" s="110"/>
      <c r="E736" s="115"/>
      <c r="F736" s="110"/>
      <c r="G736" s="110"/>
      <c r="H736" s="110"/>
      <c r="I736" s="110"/>
      <c r="J736" s="241"/>
      <c r="K736" s="241"/>
      <c r="L736" s="775" t="str">
        <f>IF(calculations!B3=3,"The state of domicile has legislation that seriously restricts the efficacy of waivers (e.g., AZ, CT).","")</f>
        <v/>
      </c>
      <c r="M736" s="775"/>
      <c r="N736" s="775"/>
      <c r="O736" s="775"/>
      <c r="P736" s="775"/>
      <c r="Q736" s="775"/>
      <c r="R736" s="775"/>
      <c r="S736" s="775"/>
      <c r="T736" s="775"/>
      <c r="U736" s="775"/>
      <c r="V736" s="775"/>
      <c r="W736" s="775"/>
      <c r="X736" s="775"/>
      <c r="Y736" s="775"/>
      <c r="Z736" s="775"/>
      <c r="AA736" s="775"/>
      <c r="AB736" s="775"/>
      <c r="AC736" s="775"/>
      <c r="AD736" s="775"/>
      <c r="AE736" s="775"/>
      <c r="AF736" s="775"/>
      <c r="AG736" s="775"/>
      <c r="AH736" s="775"/>
      <c r="AI736" s="775"/>
      <c r="AJ736" s="775"/>
      <c r="AK736" s="775"/>
      <c r="AL736" s="775"/>
      <c r="AM736" s="775"/>
      <c r="AN736" s="775"/>
      <c r="AO736" s="775"/>
      <c r="AP736" s="775"/>
      <c r="AQ736" s="775"/>
      <c r="AR736" s="775"/>
      <c r="AS736" s="125"/>
    </row>
    <row r="737" spans="1:46" ht="4.5" customHeight="1" x14ac:dyDescent="0.3">
      <c r="A737" s="116"/>
      <c r="B737" s="110"/>
      <c r="C737" s="110"/>
      <c r="D737" s="110"/>
      <c r="E737" s="115"/>
      <c r="F737" s="110"/>
      <c r="G737" s="110"/>
      <c r="H737" s="110"/>
      <c r="I737" s="110"/>
      <c r="J737" s="241"/>
      <c r="K737" s="241"/>
      <c r="L737" s="241"/>
      <c r="M737" s="241"/>
      <c r="N737" s="241"/>
      <c r="O737" s="241"/>
      <c r="P737" s="241"/>
      <c r="Q737" s="241"/>
      <c r="R737" s="241"/>
      <c r="S737" s="241"/>
      <c r="T737" s="241"/>
      <c r="U737" s="241"/>
      <c r="V737" s="241"/>
      <c r="W737" s="241"/>
      <c r="X737" s="241"/>
      <c r="Y737" s="241"/>
      <c r="Z737" s="241"/>
      <c r="AA737" s="241"/>
      <c r="AB737" s="241"/>
      <c r="AC737" s="241"/>
      <c r="AD737" s="241"/>
      <c r="AE737" s="241"/>
      <c r="AF737" s="241"/>
      <c r="AG737" s="241"/>
      <c r="AH737" s="241"/>
      <c r="AI737" s="241"/>
      <c r="AJ737" s="241"/>
      <c r="AK737" s="241"/>
      <c r="AL737" s="241"/>
      <c r="AM737" s="241"/>
      <c r="AN737" s="241"/>
      <c r="AO737" s="241"/>
      <c r="AP737" s="241"/>
      <c r="AQ737" s="241"/>
      <c r="AR737" s="241"/>
      <c r="AS737" s="125"/>
    </row>
    <row r="738" spans="1:46" x14ac:dyDescent="0.3">
      <c r="A738" s="116"/>
      <c r="B738" s="110"/>
      <c r="C738" s="110"/>
      <c r="D738" s="110"/>
      <c r="E738" s="115"/>
      <c r="F738" s="116" t="str">
        <f>IF(calculations!B3=3,"COMMENTS","")</f>
        <v/>
      </c>
      <c r="G738" s="110"/>
      <c r="H738" s="110"/>
      <c r="I738" s="110"/>
      <c r="J738" s="755" t="str">
        <f>IF(calculations!M193,"describe corrective action proposed to correct any Red Flag or Yellow Flag ranking",IF(calculations!N193,"describe corrective action proposed to correct any Red Flag or Yellow Flag ranking",""))</f>
        <v/>
      </c>
      <c r="K738" s="756"/>
      <c r="L738" s="756"/>
      <c r="M738" s="756"/>
      <c r="N738" s="756"/>
      <c r="O738" s="756"/>
      <c r="P738" s="756"/>
      <c r="Q738" s="756"/>
      <c r="R738" s="756"/>
      <c r="S738" s="756"/>
      <c r="T738" s="756"/>
      <c r="U738" s="756"/>
      <c r="V738" s="756"/>
      <c r="W738" s="756"/>
      <c r="X738" s="756"/>
      <c r="Y738" s="756"/>
      <c r="Z738" s="756"/>
      <c r="AA738" s="756"/>
      <c r="AB738" s="756"/>
      <c r="AC738" s="756"/>
      <c r="AD738" s="756"/>
      <c r="AE738" s="756"/>
      <c r="AF738" s="756"/>
      <c r="AG738" s="756"/>
      <c r="AH738" s="756"/>
      <c r="AI738" s="756"/>
      <c r="AJ738" s="756"/>
      <c r="AK738" s="756"/>
      <c r="AL738" s="756"/>
      <c r="AM738" s="756"/>
      <c r="AN738" s="756"/>
      <c r="AO738" s="756"/>
      <c r="AP738" s="756"/>
      <c r="AQ738" s="756"/>
      <c r="AR738" s="757"/>
      <c r="AS738" s="125"/>
    </row>
    <row r="739" spans="1:46" ht="4.5" customHeight="1" x14ac:dyDescent="0.3">
      <c r="A739" s="116"/>
      <c r="B739" s="110"/>
      <c r="C739" s="110"/>
      <c r="D739" s="110"/>
      <c r="E739" s="115"/>
      <c r="F739" s="116"/>
      <c r="G739" s="110"/>
      <c r="H739" s="110"/>
      <c r="I739" s="110"/>
      <c r="J739" s="315"/>
      <c r="K739" s="315"/>
      <c r="L739" s="315"/>
      <c r="M739" s="315"/>
      <c r="N739" s="315"/>
      <c r="O739" s="315"/>
      <c r="P739" s="315"/>
      <c r="Q739" s="315"/>
      <c r="R739" s="315"/>
      <c r="S739" s="315"/>
      <c r="T739" s="315"/>
      <c r="U739" s="315"/>
      <c r="V739" s="315"/>
      <c r="W739" s="315"/>
      <c r="X739" s="315"/>
      <c r="Y739" s="315"/>
      <c r="Z739" s="315"/>
      <c r="AA739" s="315"/>
      <c r="AB739" s="315"/>
      <c r="AC739" s="315"/>
      <c r="AD739" s="315"/>
      <c r="AE739" s="315"/>
      <c r="AF739" s="315"/>
      <c r="AG739" s="315"/>
      <c r="AH739" s="315"/>
      <c r="AI739" s="315"/>
      <c r="AJ739" s="315"/>
      <c r="AK739" s="315"/>
      <c r="AL739" s="315"/>
      <c r="AM739" s="315"/>
      <c r="AN739" s="315"/>
      <c r="AO739" s="315"/>
      <c r="AP739" s="315"/>
      <c r="AQ739" s="315"/>
      <c r="AR739" s="315"/>
      <c r="AS739" s="125"/>
      <c r="AT739" s="110"/>
    </row>
    <row r="740" spans="1:46" ht="26.25" customHeight="1" x14ac:dyDescent="0.3">
      <c r="A740" s="116"/>
      <c r="B740" s="110"/>
      <c r="C740" s="110"/>
      <c r="D740" s="110"/>
      <c r="E740" s="115"/>
      <c r="F740" s="114" t="str">
        <f>IF(J740&gt;"","RECS","")</f>
        <v/>
      </c>
      <c r="G740" s="110"/>
      <c r="H740" s="110"/>
      <c r="I740" s="110"/>
      <c r="J740" s="755" t="str">
        <f>IF(calculations!M193,Rec!D239,IF(calculations!N193,Rec!D240,""))</f>
        <v/>
      </c>
      <c r="K740" s="756"/>
      <c r="L740" s="756"/>
      <c r="M740" s="756"/>
      <c r="N740" s="756"/>
      <c r="O740" s="756"/>
      <c r="P740" s="756"/>
      <c r="Q740" s="756"/>
      <c r="R740" s="756"/>
      <c r="S740" s="756"/>
      <c r="T740" s="756"/>
      <c r="U740" s="756"/>
      <c r="V740" s="756"/>
      <c r="W740" s="756"/>
      <c r="X740" s="756"/>
      <c r="Y740" s="756"/>
      <c r="Z740" s="756"/>
      <c r="AA740" s="756"/>
      <c r="AB740" s="756"/>
      <c r="AC740" s="756"/>
      <c r="AD740" s="756"/>
      <c r="AE740" s="756"/>
      <c r="AF740" s="756"/>
      <c r="AG740" s="756"/>
      <c r="AH740" s="756"/>
      <c r="AI740" s="756"/>
      <c r="AJ740" s="756"/>
      <c r="AK740" s="756"/>
      <c r="AL740" s="756"/>
      <c r="AM740" s="756"/>
      <c r="AN740" s="756"/>
      <c r="AO740" s="756"/>
      <c r="AP740" s="756"/>
      <c r="AQ740" s="756"/>
      <c r="AR740" s="757"/>
      <c r="AS740" s="125"/>
    </row>
    <row r="741" spans="1:46" x14ac:dyDescent="0.3">
      <c r="A741" s="116"/>
      <c r="B741" s="110"/>
      <c r="C741" s="110"/>
      <c r="D741" s="110"/>
      <c r="E741" s="115"/>
      <c r="F741" s="112"/>
      <c r="G741" s="129"/>
      <c r="H741" s="110"/>
      <c r="I741" s="110"/>
      <c r="J741" s="110"/>
      <c r="K741" s="110"/>
      <c r="L741" s="110"/>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c r="AQ741" s="110"/>
      <c r="AR741" s="110"/>
      <c r="AS741" s="125"/>
    </row>
    <row r="742" spans="1:46" ht="14.15" x14ac:dyDescent="0.35">
      <c r="A742" s="286" t="s">
        <v>1440</v>
      </c>
      <c r="B742" s="110"/>
      <c r="C742" s="110"/>
      <c r="D742" s="120" t="str">
        <f>IF(calculations!B3=3,"CONTRACTS","")</f>
        <v/>
      </c>
      <c r="E742" s="115"/>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c r="AS742" s="125"/>
    </row>
    <row r="743" spans="1:46" ht="5.25" customHeight="1" x14ac:dyDescent="0.3">
      <c r="A743" s="116"/>
      <c r="B743" s="110"/>
      <c r="C743" s="110"/>
      <c r="D743" s="110"/>
      <c r="E743" s="115"/>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c r="AS743" s="125"/>
    </row>
    <row r="744" spans="1:46" ht="61.5" customHeight="1" x14ac:dyDescent="0.3">
      <c r="A744" s="116" t="s">
        <v>1441</v>
      </c>
      <c r="B744" s="110"/>
      <c r="C744" s="1"/>
      <c r="D744" s="31"/>
      <c r="E744" s="32"/>
      <c r="F744" s="33"/>
      <c r="G744" s="31"/>
      <c r="H744" s="31"/>
      <c r="I744" s="31"/>
      <c r="J744" s="31"/>
      <c r="K744" s="241"/>
      <c r="L744" s="775" t="str">
        <f>IF(calculations!B3=3,forms!A231,"")</f>
        <v/>
      </c>
      <c r="M744" s="775"/>
      <c r="N744" s="775"/>
      <c r="O744" s="775"/>
      <c r="P744" s="775"/>
      <c r="Q744" s="775"/>
      <c r="R744" s="775"/>
      <c r="S744" s="775"/>
      <c r="T744" s="775"/>
      <c r="U744" s="775"/>
      <c r="V744" s="775"/>
      <c r="W744" s="775"/>
      <c r="X744" s="775"/>
      <c r="Y744" s="775"/>
      <c r="Z744" s="775"/>
      <c r="AA744" s="775"/>
      <c r="AB744" s="775"/>
      <c r="AC744" s="775"/>
      <c r="AD744" s="775"/>
      <c r="AE744" s="775"/>
      <c r="AF744" s="775"/>
      <c r="AG744" s="775"/>
      <c r="AH744" s="775"/>
      <c r="AI744" s="775"/>
      <c r="AJ744" s="775"/>
      <c r="AK744" s="775"/>
      <c r="AL744" s="775"/>
      <c r="AM744" s="775"/>
      <c r="AN744" s="775"/>
      <c r="AO744" s="775"/>
      <c r="AP744" s="775"/>
      <c r="AQ744" s="775"/>
      <c r="AR744" s="775"/>
      <c r="AS744" s="125"/>
    </row>
    <row r="745" spans="1:46" ht="4.5" customHeight="1" x14ac:dyDescent="0.3">
      <c r="A745" s="116"/>
      <c r="B745" s="110"/>
      <c r="C745" s="1"/>
      <c r="D745" s="31"/>
      <c r="E745" s="34"/>
      <c r="F745" s="31"/>
      <c r="G745" s="31"/>
      <c r="H745" s="31"/>
      <c r="I745" s="31"/>
      <c r="J745" s="31"/>
      <c r="K745" s="241"/>
      <c r="L745" s="241"/>
      <c r="M745" s="241"/>
      <c r="N745" s="241"/>
      <c r="O745" s="241"/>
      <c r="P745" s="241"/>
      <c r="Q745" s="241"/>
      <c r="R745" s="241"/>
      <c r="S745" s="241"/>
      <c r="T745" s="241"/>
      <c r="U745" s="241"/>
      <c r="V745" s="241"/>
      <c r="W745" s="241"/>
      <c r="X745" s="241"/>
      <c r="Y745" s="241"/>
      <c r="Z745" s="241"/>
      <c r="AA745" s="241"/>
      <c r="AB745" s="241"/>
      <c r="AC745" s="241"/>
      <c r="AD745" s="241"/>
      <c r="AE745" s="241"/>
      <c r="AF745" s="241"/>
      <c r="AG745" s="241"/>
      <c r="AH745" s="241"/>
      <c r="AI745" s="241"/>
      <c r="AJ745" s="241"/>
      <c r="AK745" s="241"/>
      <c r="AL745" s="241"/>
      <c r="AM745" s="241"/>
      <c r="AN745" s="241"/>
      <c r="AO745" s="241"/>
      <c r="AP745" s="241"/>
      <c r="AQ745" s="241"/>
      <c r="AR745" s="241"/>
      <c r="AS745" s="125"/>
    </row>
    <row r="746" spans="1:46" ht="49.5" customHeight="1" x14ac:dyDescent="0.3">
      <c r="A746" s="116" t="s">
        <v>1442</v>
      </c>
      <c r="B746" s="110"/>
      <c r="C746" s="1"/>
      <c r="D746" s="31"/>
      <c r="E746" s="32"/>
      <c r="F746" s="33"/>
      <c r="G746" s="31"/>
      <c r="H746" s="31"/>
      <c r="I746" s="31"/>
      <c r="J746" s="31"/>
      <c r="K746" s="241"/>
      <c r="L746" s="775" t="str">
        <f>IF(calculations!B3=3,forms!A232,"")</f>
        <v/>
      </c>
      <c r="M746" s="775"/>
      <c r="N746" s="775"/>
      <c r="O746" s="775"/>
      <c r="P746" s="775"/>
      <c r="Q746" s="775"/>
      <c r="R746" s="775"/>
      <c r="S746" s="775"/>
      <c r="T746" s="775"/>
      <c r="U746" s="775"/>
      <c r="V746" s="775"/>
      <c r="W746" s="775"/>
      <c r="X746" s="775"/>
      <c r="Y746" s="775"/>
      <c r="Z746" s="775"/>
      <c r="AA746" s="775"/>
      <c r="AB746" s="775"/>
      <c r="AC746" s="775"/>
      <c r="AD746" s="775"/>
      <c r="AE746" s="775"/>
      <c r="AF746" s="775"/>
      <c r="AG746" s="775"/>
      <c r="AH746" s="775"/>
      <c r="AI746" s="775"/>
      <c r="AJ746" s="775"/>
      <c r="AK746" s="775"/>
      <c r="AL746" s="775"/>
      <c r="AM746" s="775"/>
      <c r="AN746" s="775"/>
      <c r="AO746" s="775"/>
      <c r="AP746" s="775"/>
      <c r="AQ746" s="775"/>
      <c r="AR746" s="775"/>
      <c r="AS746" s="125"/>
    </row>
    <row r="747" spans="1:46" ht="4.5" customHeight="1" x14ac:dyDescent="0.3">
      <c r="A747" s="116"/>
      <c r="B747" s="110"/>
      <c r="C747" s="1"/>
      <c r="D747" s="31"/>
      <c r="E747" s="32"/>
      <c r="F747" s="33"/>
      <c r="G747" s="31"/>
      <c r="H747" s="31"/>
      <c r="I747" s="31"/>
      <c r="J747" s="31"/>
      <c r="K747" s="241"/>
      <c r="L747" s="241"/>
      <c r="M747" s="241"/>
      <c r="N747" s="241"/>
      <c r="O747" s="241"/>
      <c r="P747" s="241"/>
      <c r="Q747" s="241"/>
      <c r="R747" s="241"/>
      <c r="S747" s="241"/>
      <c r="T747" s="241"/>
      <c r="U747" s="241"/>
      <c r="V747" s="241"/>
      <c r="W747" s="241"/>
      <c r="X747" s="241"/>
      <c r="Y747" s="241"/>
      <c r="Z747" s="241"/>
      <c r="AA747" s="241"/>
      <c r="AB747" s="241"/>
      <c r="AC747" s="241"/>
      <c r="AD747" s="241"/>
      <c r="AE747" s="241"/>
      <c r="AF747" s="241"/>
      <c r="AG747" s="241"/>
      <c r="AH747" s="241"/>
      <c r="AI747" s="241"/>
      <c r="AJ747" s="241"/>
      <c r="AK747" s="241"/>
      <c r="AL747" s="241"/>
      <c r="AM747" s="241"/>
      <c r="AN747" s="241"/>
      <c r="AO747" s="241"/>
      <c r="AP747" s="241"/>
      <c r="AQ747" s="241"/>
      <c r="AR747" s="241"/>
      <c r="AS747" s="125"/>
    </row>
    <row r="748" spans="1:46" ht="24" customHeight="1" x14ac:dyDescent="0.3">
      <c r="A748" s="116" t="s">
        <v>1443</v>
      </c>
      <c r="B748" s="110"/>
      <c r="C748" s="1"/>
      <c r="D748" s="31"/>
      <c r="E748" s="34"/>
      <c r="F748" s="31"/>
      <c r="G748" s="31"/>
      <c r="H748" s="31"/>
      <c r="I748" s="31"/>
      <c r="J748" s="31"/>
      <c r="K748" s="241"/>
      <c r="L748" s="775" t="str">
        <f>IF(calculations!B3=3,"1) Binding agreements are always codified in writing.
2) All such contracts are previewed by the camp director.","")</f>
        <v/>
      </c>
      <c r="M748" s="775"/>
      <c r="N748" s="775"/>
      <c r="O748" s="775"/>
      <c r="P748" s="775"/>
      <c r="Q748" s="775"/>
      <c r="R748" s="775"/>
      <c r="S748" s="775"/>
      <c r="T748" s="775"/>
      <c r="U748" s="775"/>
      <c r="V748" s="775"/>
      <c r="W748" s="775"/>
      <c r="X748" s="775"/>
      <c r="Y748" s="775"/>
      <c r="Z748" s="775"/>
      <c r="AA748" s="775"/>
      <c r="AB748" s="775"/>
      <c r="AC748" s="775"/>
      <c r="AD748" s="775"/>
      <c r="AE748" s="775"/>
      <c r="AF748" s="775"/>
      <c r="AG748" s="775"/>
      <c r="AH748" s="775"/>
      <c r="AI748" s="775"/>
      <c r="AJ748" s="775"/>
      <c r="AK748" s="775"/>
      <c r="AL748" s="775"/>
      <c r="AM748" s="775"/>
      <c r="AN748" s="775"/>
      <c r="AO748" s="775"/>
      <c r="AP748" s="775"/>
      <c r="AQ748" s="775"/>
      <c r="AR748" s="775"/>
      <c r="AS748" s="125"/>
    </row>
    <row r="749" spans="1:46" s="110" customFormat="1" ht="4.5" customHeight="1" x14ac:dyDescent="0.3">
      <c r="A749" s="116"/>
      <c r="C749" s="1"/>
      <c r="D749" s="31"/>
      <c r="E749" s="34"/>
      <c r="F749" s="31"/>
      <c r="G749" s="31"/>
      <c r="H749" s="31"/>
      <c r="I749" s="31"/>
      <c r="J749" s="31"/>
      <c r="K749" s="241"/>
      <c r="L749" s="241"/>
      <c r="M749" s="241"/>
      <c r="N749" s="241"/>
      <c r="O749" s="241"/>
      <c r="P749" s="241"/>
      <c r="Q749" s="241"/>
      <c r="R749" s="241"/>
      <c r="S749" s="241"/>
      <c r="T749" s="241"/>
      <c r="U749" s="241"/>
      <c r="V749" s="241"/>
      <c r="W749" s="241"/>
      <c r="X749" s="241"/>
      <c r="Y749" s="241"/>
      <c r="Z749" s="241"/>
      <c r="AA749" s="241"/>
      <c r="AB749" s="241"/>
      <c r="AC749" s="241"/>
      <c r="AD749" s="241"/>
      <c r="AE749" s="241"/>
      <c r="AF749" s="241"/>
      <c r="AG749" s="241"/>
      <c r="AH749" s="241"/>
      <c r="AI749" s="241"/>
      <c r="AJ749" s="241"/>
      <c r="AK749" s="241"/>
      <c r="AL749" s="241"/>
      <c r="AM749" s="241"/>
      <c r="AN749" s="241"/>
      <c r="AO749" s="241"/>
      <c r="AP749" s="241"/>
      <c r="AQ749" s="241"/>
      <c r="AR749" s="241"/>
      <c r="AS749" s="125"/>
      <c r="AT749" s="111"/>
    </row>
    <row r="750" spans="1:46" s="110" customFormat="1" ht="26.25" customHeight="1" x14ac:dyDescent="0.3">
      <c r="A750" s="116" t="s">
        <v>1444</v>
      </c>
      <c r="C750" s="1"/>
      <c r="D750" s="31"/>
      <c r="E750" s="32"/>
      <c r="F750" s="33"/>
      <c r="G750" s="31"/>
      <c r="H750" s="31"/>
      <c r="I750" s="31"/>
      <c r="J750" s="31"/>
      <c r="K750" s="241"/>
      <c r="L750" s="775" t="str">
        <f>IF(calculations!B3=3,"Contracts may be signed without the approval of corporate management OR binding agreements are made without written contracts.","")</f>
        <v/>
      </c>
      <c r="M750" s="775"/>
      <c r="N750" s="775"/>
      <c r="O750" s="775"/>
      <c r="P750" s="775"/>
      <c r="Q750" s="775"/>
      <c r="R750" s="775"/>
      <c r="S750" s="775"/>
      <c r="T750" s="775"/>
      <c r="U750" s="775"/>
      <c r="V750" s="775"/>
      <c r="W750" s="775"/>
      <c r="X750" s="775"/>
      <c r="Y750" s="775"/>
      <c r="Z750" s="775"/>
      <c r="AA750" s="775"/>
      <c r="AB750" s="775"/>
      <c r="AC750" s="775"/>
      <c r="AD750" s="775"/>
      <c r="AE750" s="775"/>
      <c r="AF750" s="775"/>
      <c r="AG750" s="775"/>
      <c r="AH750" s="775"/>
      <c r="AI750" s="775"/>
      <c r="AJ750" s="775"/>
      <c r="AK750" s="775"/>
      <c r="AL750" s="775"/>
      <c r="AM750" s="775"/>
      <c r="AN750" s="775"/>
      <c r="AO750" s="775"/>
      <c r="AP750" s="775"/>
      <c r="AQ750" s="775"/>
      <c r="AR750" s="775"/>
      <c r="AS750" s="125"/>
      <c r="AT750" s="111"/>
    </row>
    <row r="751" spans="1:46" s="110" customFormat="1" ht="4.5" customHeight="1" x14ac:dyDescent="0.3">
      <c r="A751" s="116"/>
      <c r="C751" s="1"/>
      <c r="D751" s="1"/>
      <c r="E751" s="35"/>
      <c r="F751" s="1"/>
      <c r="G751" s="1"/>
      <c r="H751" s="1"/>
      <c r="I751" s="1"/>
      <c r="J751" s="1"/>
      <c r="K751" s="241"/>
      <c r="L751" s="241"/>
      <c r="M751" s="241"/>
      <c r="N751" s="241"/>
      <c r="O751" s="241"/>
      <c r="P751" s="241"/>
      <c r="Q751" s="241"/>
      <c r="R751" s="241"/>
      <c r="S751" s="241"/>
      <c r="T751" s="241"/>
      <c r="U751" s="241"/>
      <c r="V751" s="241"/>
      <c r="W751" s="241"/>
      <c r="X751" s="241"/>
      <c r="Y751" s="241"/>
      <c r="Z751" s="241"/>
      <c r="AA751" s="241"/>
      <c r="AB751" s="241"/>
      <c r="AC751" s="241"/>
      <c r="AD751" s="241"/>
      <c r="AE751" s="241"/>
      <c r="AF751" s="241"/>
      <c r="AG751" s="241"/>
      <c r="AH751" s="241"/>
      <c r="AI751" s="241"/>
      <c r="AJ751" s="241"/>
      <c r="AK751" s="241"/>
      <c r="AL751" s="241"/>
      <c r="AM751" s="241"/>
      <c r="AN751" s="241"/>
      <c r="AO751" s="241"/>
      <c r="AP751" s="241"/>
      <c r="AQ751" s="241"/>
      <c r="AR751" s="241"/>
      <c r="AS751" s="125"/>
      <c r="AT751" s="111"/>
    </row>
    <row r="752" spans="1:46" s="110" customFormat="1" ht="13.5" customHeight="1" x14ac:dyDescent="0.3">
      <c r="A752" s="116" t="s">
        <v>1445</v>
      </c>
      <c r="C752" s="1"/>
      <c r="D752" s="1"/>
      <c r="E752" s="11"/>
      <c r="F752" s="3"/>
      <c r="G752" s="1"/>
      <c r="H752" s="1"/>
      <c r="I752" s="1"/>
      <c r="J752" s="1"/>
      <c r="K752" s="241"/>
      <c r="L752" s="775" t="str">
        <f>IF(calculations!B3=3,"Contract review is not required by YMCA management or its legal counsel.","")</f>
        <v/>
      </c>
      <c r="M752" s="775"/>
      <c r="N752" s="775"/>
      <c r="O752" s="775"/>
      <c r="P752" s="775"/>
      <c r="Q752" s="775"/>
      <c r="R752" s="775"/>
      <c r="S752" s="775"/>
      <c r="T752" s="775"/>
      <c r="U752" s="775"/>
      <c r="V752" s="775"/>
      <c r="W752" s="775"/>
      <c r="X752" s="775"/>
      <c r="Y752" s="775"/>
      <c r="Z752" s="775"/>
      <c r="AA752" s="775"/>
      <c r="AB752" s="775"/>
      <c r="AC752" s="775"/>
      <c r="AD752" s="775"/>
      <c r="AE752" s="775"/>
      <c r="AF752" s="775"/>
      <c r="AG752" s="775"/>
      <c r="AH752" s="775"/>
      <c r="AI752" s="775"/>
      <c r="AJ752" s="775"/>
      <c r="AK752" s="775"/>
      <c r="AL752" s="775"/>
      <c r="AM752" s="775"/>
      <c r="AN752" s="775"/>
      <c r="AO752" s="775"/>
      <c r="AP752" s="775"/>
      <c r="AQ752" s="775"/>
      <c r="AR752" s="775"/>
      <c r="AS752" s="125"/>
      <c r="AT752" s="111"/>
    </row>
    <row r="753" spans="1:56" s="110" customFormat="1" ht="4.5" customHeight="1" x14ac:dyDescent="0.3">
      <c r="A753" s="113"/>
      <c r="E753" s="118"/>
      <c r="F753" s="127"/>
      <c r="K753" s="241"/>
      <c r="L753" s="241"/>
      <c r="M753" s="241"/>
      <c r="N753" s="241"/>
      <c r="O753" s="241"/>
      <c r="P753" s="241"/>
      <c r="Q753" s="241"/>
      <c r="R753" s="241"/>
      <c r="S753" s="241"/>
      <c r="T753" s="241"/>
      <c r="U753" s="241"/>
      <c r="V753" s="241"/>
      <c r="W753" s="241"/>
      <c r="X753" s="241"/>
      <c r="Y753" s="241"/>
      <c r="Z753" s="241"/>
      <c r="AA753" s="241"/>
      <c r="AB753" s="241"/>
      <c r="AC753" s="241"/>
      <c r="AD753" s="241"/>
      <c r="AE753" s="241"/>
      <c r="AF753" s="241"/>
      <c r="AG753" s="241"/>
      <c r="AH753" s="241"/>
      <c r="AI753" s="241"/>
      <c r="AJ753" s="241"/>
      <c r="AK753" s="241"/>
      <c r="AL753" s="241"/>
      <c r="AM753" s="241"/>
      <c r="AN753" s="241"/>
      <c r="AO753" s="241"/>
      <c r="AP753" s="241"/>
      <c r="AQ753" s="241"/>
      <c r="AR753" s="241"/>
      <c r="AS753" s="125"/>
      <c r="AT753" s="111"/>
    </row>
    <row r="754" spans="1:56" s="110" customFormat="1" ht="12.75" customHeight="1" x14ac:dyDescent="0.3">
      <c r="A754" s="113"/>
      <c r="E754" s="115"/>
      <c r="F754" s="116" t="str">
        <f>IF(calculations!B3=3,"COMMENTS","")</f>
        <v/>
      </c>
      <c r="J754" s="755" t="str">
        <f>IF(calculations!M193,"describe corrective action proposed to correct any Red Flag or Yellow Flag ranking",IF(calculations!N193,"describe corrective action proposed to correct any Red Flag or Yellow Flag ranking",""))</f>
        <v/>
      </c>
      <c r="K754" s="756"/>
      <c r="L754" s="756"/>
      <c r="M754" s="756"/>
      <c r="N754" s="756"/>
      <c r="O754" s="756"/>
      <c r="P754" s="756"/>
      <c r="Q754" s="756"/>
      <c r="R754" s="756"/>
      <c r="S754" s="756"/>
      <c r="T754" s="756"/>
      <c r="U754" s="756"/>
      <c r="V754" s="756"/>
      <c r="W754" s="756"/>
      <c r="X754" s="756"/>
      <c r="Y754" s="756"/>
      <c r="Z754" s="756"/>
      <c r="AA754" s="756"/>
      <c r="AB754" s="756"/>
      <c r="AC754" s="756"/>
      <c r="AD754" s="756"/>
      <c r="AE754" s="756"/>
      <c r="AF754" s="756"/>
      <c r="AG754" s="756"/>
      <c r="AH754" s="756"/>
      <c r="AI754" s="756"/>
      <c r="AJ754" s="756"/>
      <c r="AK754" s="756"/>
      <c r="AL754" s="756"/>
      <c r="AM754" s="756"/>
      <c r="AN754" s="756"/>
      <c r="AO754" s="756"/>
      <c r="AP754" s="756"/>
      <c r="AQ754" s="756"/>
      <c r="AR754" s="757"/>
      <c r="AS754" s="125"/>
      <c r="AT754" s="111"/>
    </row>
    <row r="755" spans="1:56" s="110" customFormat="1" ht="4.5" customHeight="1" x14ac:dyDescent="0.3">
      <c r="A755" s="113"/>
      <c r="E755" s="115"/>
      <c r="F755" s="116"/>
      <c r="J755" s="315"/>
      <c r="K755" s="315"/>
      <c r="L755" s="315"/>
      <c r="M755" s="315"/>
      <c r="N755" s="315"/>
      <c r="O755" s="315"/>
      <c r="P755" s="315"/>
      <c r="Q755" s="315"/>
      <c r="R755" s="315"/>
      <c r="S755" s="315"/>
      <c r="T755" s="315"/>
      <c r="U755" s="315"/>
      <c r="V755" s="315"/>
      <c r="W755" s="315"/>
      <c r="X755" s="315"/>
      <c r="Y755" s="315"/>
      <c r="Z755" s="315"/>
      <c r="AA755" s="315"/>
      <c r="AB755" s="315"/>
      <c r="AC755" s="315"/>
      <c r="AD755" s="315"/>
      <c r="AE755" s="315"/>
      <c r="AF755" s="315"/>
      <c r="AG755" s="315"/>
      <c r="AH755" s="315"/>
      <c r="AI755" s="315"/>
      <c r="AJ755" s="315"/>
      <c r="AK755" s="315"/>
      <c r="AL755" s="315"/>
      <c r="AM755" s="315"/>
      <c r="AN755" s="315"/>
      <c r="AO755" s="315"/>
      <c r="AP755" s="315"/>
      <c r="AQ755" s="315"/>
      <c r="AR755" s="315"/>
      <c r="AS755" s="125"/>
      <c r="AT755" s="111"/>
    </row>
    <row r="756" spans="1:56" s="110" customFormat="1" ht="24.75" customHeight="1" x14ac:dyDescent="0.3">
      <c r="A756" s="113"/>
      <c r="E756" s="115"/>
      <c r="F756" s="114" t="str">
        <f>IF(J756&gt;"","RECS","")</f>
        <v/>
      </c>
      <c r="J756" s="755" t="str">
        <f>IF(calculations!M194,Rec!D241,IF(calculations!N194,Rec!D242,""))</f>
        <v/>
      </c>
      <c r="K756" s="756"/>
      <c r="L756" s="756"/>
      <c r="M756" s="756"/>
      <c r="N756" s="756"/>
      <c r="O756" s="756"/>
      <c r="P756" s="756"/>
      <c r="Q756" s="756"/>
      <c r="R756" s="756"/>
      <c r="S756" s="756"/>
      <c r="T756" s="756"/>
      <c r="U756" s="756"/>
      <c r="V756" s="756"/>
      <c r="W756" s="756"/>
      <c r="X756" s="756"/>
      <c r="Y756" s="756"/>
      <c r="Z756" s="756"/>
      <c r="AA756" s="756"/>
      <c r="AB756" s="756"/>
      <c r="AC756" s="756"/>
      <c r="AD756" s="756"/>
      <c r="AE756" s="756"/>
      <c r="AF756" s="756"/>
      <c r="AG756" s="756"/>
      <c r="AH756" s="756"/>
      <c r="AI756" s="756"/>
      <c r="AJ756" s="756"/>
      <c r="AK756" s="756"/>
      <c r="AL756" s="756"/>
      <c r="AM756" s="756"/>
      <c r="AN756" s="756"/>
      <c r="AO756" s="756"/>
      <c r="AP756" s="756"/>
      <c r="AQ756" s="756"/>
      <c r="AR756" s="757"/>
      <c r="AS756" s="125"/>
      <c r="AT756" s="111"/>
    </row>
    <row r="757" spans="1:56" s="110" customFormat="1" ht="12.75" customHeight="1" x14ac:dyDescent="0.3">
      <c r="A757" s="113"/>
      <c r="E757" s="115"/>
      <c r="F757" s="112"/>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5"/>
      <c r="AT757" s="111"/>
      <c r="AW757" s="31"/>
      <c r="AX757" s="31"/>
      <c r="AY757" s="32"/>
      <c r="AZ757" s="33"/>
      <c r="BA757" s="31"/>
      <c r="BB757" s="31"/>
      <c r="BC757" s="31"/>
      <c r="BD757" s="215"/>
    </row>
    <row r="758" spans="1:56" x14ac:dyDescent="0.3">
      <c r="AS758" s="125"/>
      <c r="AW758" s="31"/>
      <c r="AX758" s="31"/>
      <c r="AY758" s="34"/>
      <c r="AZ758" s="31"/>
      <c r="BA758" s="31"/>
      <c r="BB758" s="31"/>
      <c r="BC758" s="31"/>
      <c r="BD758" s="215"/>
    </row>
    <row r="759" spans="1:56" x14ac:dyDescent="0.3">
      <c r="AS759" s="125"/>
      <c r="AW759" s="31"/>
      <c r="AX759" s="31"/>
      <c r="AY759" s="32"/>
      <c r="AZ759" s="33"/>
      <c r="BA759" s="31"/>
      <c r="BB759" s="31"/>
      <c r="BC759" s="31"/>
      <c r="BD759" s="215"/>
    </row>
    <row r="760" spans="1:56" x14ac:dyDescent="0.3">
      <c r="AW760" s="31"/>
      <c r="AX760" s="31"/>
      <c r="AY760" s="32"/>
      <c r="AZ760" s="33"/>
      <c r="BA760" s="31"/>
      <c r="BB760" s="31"/>
      <c r="BC760" s="31"/>
      <c r="BD760" s="215"/>
    </row>
    <row r="761" spans="1:56" x14ac:dyDescent="0.3">
      <c r="AS761" s="125"/>
      <c r="AW761" s="31"/>
      <c r="AX761" s="31"/>
      <c r="AY761" s="34"/>
      <c r="AZ761" s="31"/>
      <c r="BA761" s="31"/>
      <c r="BB761" s="31"/>
      <c r="BC761" s="31"/>
      <c r="BD761" s="215"/>
    </row>
    <row r="762" spans="1:56" x14ac:dyDescent="0.3">
      <c r="AS762" s="125"/>
      <c r="AW762" s="31"/>
      <c r="AX762" s="31"/>
      <c r="AY762" s="34"/>
      <c r="AZ762" s="31"/>
      <c r="BA762" s="31"/>
      <c r="BB762" s="31"/>
      <c r="BC762" s="31"/>
      <c r="BD762" s="215"/>
    </row>
    <row r="763" spans="1:56" x14ac:dyDescent="0.3">
      <c r="AS763" s="125"/>
      <c r="AW763" s="31"/>
      <c r="AX763" s="31"/>
      <c r="AY763" s="32"/>
      <c r="AZ763" s="33"/>
      <c r="BA763" s="31"/>
      <c r="BB763" s="31"/>
      <c r="BC763" s="31"/>
      <c r="BD763" s="215"/>
    </row>
    <row r="764" spans="1:56" x14ac:dyDescent="0.3">
      <c r="AS764" s="125"/>
      <c r="AW764" s="1"/>
      <c r="AX764" s="1"/>
      <c r="AY764" s="35"/>
      <c r="AZ764" s="1"/>
      <c r="BA764" s="1"/>
      <c r="BB764" s="1"/>
      <c r="BC764" s="1"/>
      <c r="BD764" s="214"/>
    </row>
    <row r="765" spans="1:56" x14ac:dyDescent="0.3">
      <c r="AS765" s="125"/>
      <c r="AW765" s="1"/>
      <c r="AX765" s="1"/>
      <c r="AY765" s="11"/>
      <c r="AZ765" s="3"/>
      <c r="BA765" s="1"/>
      <c r="BB765" s="1"/>
      <c r="BC765" s="1"/>
      <c r="BD765" s="214"/>
    </row>
    <row r="766" spans="1:56" ht="28.5" customHeight="1" x14ac:dyDescent="0.3">
      <c r="AS766" s="125"/>
      <c r="AW766" s="1"/>
      <c r="AX766" s="1"/>
      <c r="AY766" s="11"/>
      <c r="AZ766" s="1"/>
      <c r="BA766" s="1"/>
      <c r="BB766" s="1"/>
      <c r="BC766" s="1"/>
      <c r="BD766" s="214"/>
    </row>
    <row r="767" spans="1:56" x14ac:dyDescent="0.3">
      <c r="AS767" s="125"/>
      <c r="AW767" s="1"/>
      <c r="AX767" s="1"/>
      <c r="AY767" s="11"/>
      <c r="AZ767" s="1"/>
      <c r="BA767" s="1"/>
      <c r="BB767" s="1"/>
      <c r="BC767" s="1"/>
      <c r="BD767" s="214"/>
    </row>
    <row r="768" spans="1:56" ht="53.25" customHeight="1" x14ac:dyDescent="0.3">
      <c r="AS768" s="125"/>
      <c r="AW768" s="1"/>
      <c r="AX768" s="1"/>
      <c r="AY768" s="11"/>
      <c r="AZ768" s="1"/>
      <c r="BA768" s="1"/>
      <c r="BB768" s="1"/>
      <c r="BC768" s="1"/>
      <c r="BD768" s="214"/>
    </row>
    <row r="769" spans="45:56" x14ac:dyDescent="0.3">
      <c r="AS769" s="125"/>
      <c r="AW769" s="1"/>
      <c r="AX769" s="1"/>
      <c r="AY769" s="11"/>
      <c r="AZ769" s="1"/>
      <c r="BA769" s="1"/>
      <c r="BB769" s="1"/>
      <c r="BC769" s="1"/>
      <c r="BD769" s="214"/>
    </row>
    <row r="770" spans="45:56" x14ac:dyDescent="0.3">
      <c r="AS770" s="125"/>
      <c r="AW770" s="1"/>
      <c r="AX770" s="1"/>
      <c r="AY770" s="11"/>
      <c r="AZ770" s="1"/>
      <c r="BA770" s="1"/>
      <c r="BB770" s="1"/>
      <c r="BC770" s="1"/>
      <c r="BD770" s="214"/>
    </row>
    <row r="771" spans="45:56" x14ac:dyDescent="0.3">
      <c r="AS771" s="125"/>
      <c r="AW771" s="1"/>
      <c r="AX771" s="1"/>
      <c r="AY771" s="11"/>
      <c r="AZ771" s="1"/>
      <c r="BA771" s="1"/>
      <c r="BB771" s="1"/>
      <c r="BC771" s="1"/>
      <c r="BD771" s="214"/>
    </row>
    <row r="772" spans="45:56" ht="26.25" customHeight="1" x14ac:dyDescent="0.3">
      <c r="AS772" s="125"/>
      <c r="AW772" s="1"/>
      <c r="AX772" s="1"/>
      <c r="AY772" s="2"/>
      <c r="AZ772" s="3"/>
      <c r="BA772" s="1"/>
      <c r="BB772" s="1"/>
      <c r="BC772" s="1"/>
      <c r="BD772" s="214"/>
    </row>
    <row r="773" spans="45:56" x14ac:dyDescent="0.3">
      <c r="AS773" s="125"/>
      <c r="AW773" s="1"/>
      <c r="AX773" s="1"/>
      <c r="AY773" s="11"/>
      <c r="AZ773" s="1"/>
      <c r="BA773" s="1"/>
      <c r="BB773" s="1"/>
      <c r="BC773" s="1"/>
      <c r="BD773" s="214"/>
    </row>
    <row r="774" spans="45:56" ht="24.75" customHeight="1" x14ac:dyDescent="0.3">
      <c r="AS774" s="125"/>
      <c r="AW774" s="1"/>
      <c r="AX774" s="1"/>
      <c r="AY774" s="2"/>
      <c r="AZ774" s="3"/>
      <c r="BA774" s="1"/>
      <c r="BB774" s="1"/>
      <c r="BC774" s="1"/>
      <c r="BD774" s="214"/>
    </row>
    <row r="775" spans="45:56" x14ac:dyDescent="0.3">
      <c r="AS775" s="125"/>
      <c r="AW775" s="1"/>
      <c r="AX775" s="1"/>
      <c r="AY775" s="2"/>
      <c r="AZ775" s="3"/>
      <c r="BA775" s="1"/>
      <c r="BB775" s="1"/>
      <c r="BC775" s="1"/>
      <c r="BD775" s="214"/>
    </row>
    <row r="776" spans="45:56" x14ac:dyDescent="0.3">
      <c r="AS776" s="125"/>
      <c r="AW776" s="1"/>
      <c r="AX776" s="1"/>
      <c r="AY776" s="2"/>
      <c r="AZ776" s="3"/>
      <c r="BA776" s="1"/>
      <c r="BB776" s="1"/>
      <c r="BC776" s="1"/>
      <c r="BD776" s="214"/>
    </row>
    <row r="777" spans="45:56" x14ac:dyDescent="0.3">
      <c r="AS777" s="125"/>
      <c r="AW777" s="1"/>
      <c r="AX777" s="1"/>
      <c r="AY777" s="11"/>
      <c r="AZ777" s="2"/>
      <c r="BA777" s="3"/>
      <c r="BB777" s="1"/>
      <c r="BC777" s="1"/>
      <c r="BD777" s="214"/>
    </row>
    <row r="778" spans="45:56" x14ac:dyDescent="0.3">
      <c r="AS778" s="125"/>
      <c r="AW778" s="1"/>
      <c r="AX778" s="1"/>
      <c r="AY778" s="11"/>
      <c r="AZ778" s="1"/>
      <c r="BA778" s="1"/>
      <c r="BB778" s="1"/>
      <c r="BC778" s="1"/>
      <c r="BD778" s="214"/>
    </row>
    <row r="779" spans="45:56" x14ac:dyDescent="0.3">
      <c r="AS779" s="125"/>
      <c r="AW779" s="1"/>
      <c r="AX779" s="1"/>
      <c r="AY779" s="11"/>
      <c r="AZ779" s="1"/>
      <c r="BA779" s="1"/>
      <c r="BB779" s="1"/>
      <c r="BC779" s="1"/>
      <c r="BD779" s="214"/>
    </row>
    <row r="780" spans="45:56" x14ac:dyDescent="0.3">
      <c r="AS780" s="125"/>
    </row>
    <row r="781" spans="45:56" x14ac:dyDescent="0.3">
      <c r="AS781" s="125"/>
    </row>
    <row r="782" spans="45:56" ht="14.25" customHeight="1" x14ac:dyDescent="0.3">
      <c r="AS782" s="125"/>
    </row>
    <row r="783" spans="45:56" x14ac:dyDescent="0.3">
      <c r="AS783" s="125"/>
    </row>
    <row r="784" spans="45:56" ht="39.75" customHeight="1" x14ac:dyDescent="0.3">
      <c r="AS784" s="125"/>
    </row>
    <row r="785" spans="45:45" x14ac:dyDescent="0.3">
      <c r="AS785" s="125"/>
    </row>
    <row r="786" spans="45:45" ht="27.75" customHeight="1" x14ac:dyDescent="0.3">
      <c r="AS786" s="125"/>
    </row>
    <row r="787" spans="45:45" x14ac:dyDescent="0.3">
      <c r="AS787" s="125"/>
    </row>
    <row r="788" spans="45:45" ht="14.25" customHeight="1" x14ac:dyDescent="0.3">
      <c r="AS788" s="125"/>
    </row>
    <row r="789" spans="45:45" x14ac:dyDescent="0.3">
      <c r="AS789" s="125"/>
    </row>
    <row r="790" spans="45:45" ht="28.5" customHeight="1" x14ac:dyDescent="0.3">
      <c r="AS790" s="125"/>
    </row>
    <row r="791" spans="45:45" x14ac:dyDescent="0.3">
      <c r="AS791" s="125"/>
    </row>
    <row r="792" spans="45:45" x14ac:dyDescent="0.3">
      <c r="AS792" s="125"/>
    </row>
    <row r="793" spans="45:45" x14ac:dyDescent="0.3">
      <c r="AS793" s="125"/>
    </row>
    <row r="794" spans="45:45" x14ac:dyDescent="0.3">
      <c r="AS794" s="125"/>
    </row>
    <row r="795" spans="45:45" x14ac:dyDescent="0.3">
      <c r="AS795" s="125"/>
    </row>
    <row r="796" spans="45:45" x14ac:dyDescent="0.3">
      <c r="AS796" s="125"/>
    </row>
    <row r="797" spans="45:45" x14ac:dyDescent="0.3">
      <c r="AS797" s="125"/>
    </row>
    <row r="798" spans="45:45" ht="25.5" customHeight="1" x14ac:dyDescent="0.3">
      <c r="AS798" s="125"/>
    </row>
    <row r="799" spans="45:45" x14ac:dyDescent="0.3">
      <c r="AS799" s="125"/>
    </row>
    <row r="800" spans="45:45" ht="24" customHeight="1" x14ac:dyDescent="0.3">
      <c r="AS800" s="125"/>
    </row>
    <row r="801" spans="45:46" x14ac:dyDescent="0.3">
      <c r="AS801" s="125"/>
    </row>
    <row r="802" spans="45:46" ht="27" customHeight="1" x14ac:dyDescent="0.3">
      <c r="AS802" s="125"/>
    </row>
    <row r="804" spans="45:46" s="110" customFormat="1" x14ac:dyDescent="0.3">
      <c r="AT804" s="111"/>
    </row>
    <row r="805" spans="45:46" s="110" customFormat="1" x14ac:dyDescent="0.3">
      <c r="AT805" s="111"/>
    </row>
    <row r="806" spans="45:46" s="110" customFormat="1" x14ac:dyDescent="0.3">
      <c r="AT806" s="111"/>
    </row>
    <row r="807" spans="45:46" s="110" customFormat="1" x14ac:dyDescent="0.3">
      <c r="AT807" s="111"/>
    </row>
    <row r="808" spans="45:46" s="110" customFormat="1" x14ac:dyDescent="0.3">
      <c r="AT808" s="111"/>
    </row>
    <row r="809" spans="45:46" s="110" customFormat="1" x14ac:dyDescent="0.3">
      <c r="AT809" s="111"/>
    </row>
    <row r="810" spans="45:46" s="110" customFormat="1" x14ac:dyDescent="0.3">
      <c r="AT810" s="111"/>
    </row>
    <row r="811" spans="45:46" s="110" customFormat="1" x14ac:dyDescent="0.3">
      <c r="AT811" s="111"/>
    </row>
  </sheetData>
  <sheetProtection password="CD90" sheet="1" objects="1" scenarios="1" formatCells="0" formatRows="0" insertRows="0"/>
  <mergeCells count="413">
    <mergeCell ref="R47:AR47"/>
    <mergeCell ref="N67:O67"/>
    <mergeCell ref="N69:O69"/>
    <mergeCell ref="K62:AR62"/>
    <mergeCell ref="Q64:R64"/>
    <mergeCell ref="R54:AR54"/>
    <mergeCell ref="O39:P39"/>
    <mergeCell ref="M111:AR111"/>
    <mergeCell ref="M89:AR89"/>
    <mergeCell ref="O49:P49"/>
    <mergeCell ref="O47:P47"/>
    <mergeCell ref="O54:P54"/>
    <mergeCell ref="O52:P52"/>
    <mergeCell ref="N71:O71"/>
    <mergeCell ref="AJ82:AR82"/>
    <mergeCell ref="M95:AR95"/>
    <mergeCell ref="Q67:AR67"/>
    <mergeCell ref="M103:Z103"/>
    <mergeCell ref="M109:AR109"/>
    <mergeCell ref="M105:O105"/>
    <mergeCell ref="Q105:AR105"/>
    <mergeCell ref="M107:AR107"/>
    <mergeCell ref="V73:X73"/>
    <mergeCell ref="AK86:AR86"/>
    <mergeCell ref="Q71:AR71"/>
    <mergeCell ref="Y79:AR79"/>
    <mergeCell ref="S77:T77"/>
    <mergeCell ref="A81:AR81"/>
    <mergeCell ref="R49:AR49"/>
    <mergeCell ref="Q69:AR69"/>
    <mergeCell ref="AA60:AB60"/>
    <mergeCell ref="R52:AR52"/>
    <mergeCell ref="M91:AR91"/>
    <mergeCell ref="M97:AR97"/>
    <mergeCell ref="M269:V269"/>
    <mergeCell ref="M267:U267"/>
    <mergeCell ref="AD267:AG267"/>
    <mergeCell ref="M125:AR125"/>
    <mergeCell ref="M137:AR137"/>
    <mergeCell ref="M127:AR127"/>
    <mergeCell ref="M157:AR157"/>
    <mergeCell ref="M119:AR119"/>
    <mergeCell ref="M121:AR121"/>
    <mergeCell ref="M123:AR123"/>
    <mergeCell ref="M149:AR149"/>
    <mergeCell ref="M139:AR139"/>
    <mergeCell ref="M143:AR143"/>
    <mergeCell ref="M135:AR135"/>
    <mergeCell ref="M129:AR129"/>
    <mergeCell ref="AN267:AR267"/>
    <mergeCell ref="M141:AR141"/>
    <mergeCell ref="M207:AR207"/>
    <mergeCell ref="M161:AR161"/>
    <mergeCell ref="M159:AR159"/>
    <mergeCell ref="M163:AR163"/>
    <mergeCell ref="AK99:AR99"/>
    <mergeCell ref="X515:AA515"/>
    <mergeCell ref="S513:V513"/>
    <mergeCell ref="AC515:AR515"/>
    <mergeCell ref="J401:AR401"/>
    <mergeCell ref="M517:U517"/>
    <mergeCell ref="AC82:AH82"/>
    <mergeCell ref="AP285:AR285"/>
    <mergeCell ref="M285:AN285"/>
    <mergeCell ref="M193:AR193"/>
    <mergeCell ref="M197:AR197"/>
    <mergeCell ref="J179:AR179"/>
    <mergeCell ref="M187:AR187"/>
    <mergeCell ref="AK344:AR344"/>
    <mergeCell ref="M203:AR203"/>
    <mergeCell ref="M261:AR261"/>
    <mergeCell ref="M224:AR224"/>
    <mergeCell ref="M228:AR228"/>
    <mergeCell ref="M226:AR226"/>
    <mergeCell ref="J254:AR254"/>
    <mergeCell ref="M131:AR131"/>
    <mergeCell ref="M133:AR133"/>
    <mergeCell ref="AJ83:AR83"/>
    <mergeCell ref="M113:AR113"/>
    <mergeCell ref="M115:AR115"/>
    <mergeCell ref="AS1:AT1"/>
    <mergeCell ref="B1:AR2"/>
    <mergeCell ref="G6:AA6"/>
    <mergeCell ref="AC6:AE6"/>
    <mergeCell ref="AG4:AI4"/>
    <mergeCell ref="AJ4:AR4"/>
    <mergeCell ref="G4:AA4"/>
    <mergeCell ref="AC4:AE4"/>
    <mergeCell ref="AG6:AI6"/>
    <mergeCell ref="AJ6:AR6"/>
    <mergeCell ref="AN3:AR3"/>
    <mergeCell ref="AG8:AI8"/>
    <mergeCell ref="AJ8:AR8"/>
    <mergeCell ref="AJ10:AR10"/>
    <mergeCell ref="G8:AE8"/>
    <mergeCell ref="A18:AR18"/>
    <mergeCell ref="AJ12:AR12"/>
    <mergeCell ref="G9:AE9"/>
    <mergeCell ref="AJ9:AR9"/>
    <mergeCell ref="G10:W10"/>
    <mergeCell ref="Z10:AE10"/>
    <mergeCell ref="AG10:AI10"/>
    <mergeCell ref="C14:J14"/>
    <mergeCell ref="X14:AJ14"/>
    <mergeCell ref="L14:V14"/>
    <mergeCell ref="G11:AE11"/>
    <mergeCell ref="AJ11:AR11"/>
    <mergeCell ref="G12:J12"/>
    <mergeCell ref="O12:AE12"/>
    <mergeCell ref="AG12:AI12"/>
    <mergeCell ref="AH16:AR16"/>
    <mergeCell ref="C16:I16"/>
    <mergeCell ref="C22:AR22"/>
    <mergeCell ref="C20:AR20"/>
    <mergeCell ref="K16:U16"/>
    <mergeCell ref="W16:AF16"/>
    <mergeCell ref="AL14:AR14"/>
    <mergeCell ref="O45:P45"/>
    <mergeCell ref="R45:AR45"/>
    <mergeCell ref="R39:AR39"/>
    <mergeCell ref="L58:M58"/>
    <mergeCell ref="A28:AR28"/>
    <mergeCell ref="N33:O33"/>
    <mergeCell ref="Z33:AA33"/>
    <mergeCell ref="AF33:AG33"/>
    <mergeCell ref="AK33:AL33"/>
    <mergeCell ref="AQ33:AR33"/>
    <mergeCell ref="N32:O32"/>
    <mergeCell ref="C26:AR26"/>
    <mergeCell ref="C24:AR24"/>
    <mergeCell ref="R35:AR35"/>
    <mergeCell ref="R50:AR50"/>
    <mergeCell ref="O41:P41"/>
    <mergeCell ref="R37:AR37"/>
    <mergeCell ref="R41:AR41"/>
    <mergeCell ref="O37:P37"/>
    <mergeCell ref="J289:AR289"/>
    <mergeCell ref="J364:AR364"/>
    <mergeCell ref="J342:AR342"/>
    <mergeCell ref="AL330:AN330"/>
    <mergeCell ref="N330:O330"/>
    <mergeCell ref="J271:AR271"/>
    <mergeCell ref="M283:AR283"/>
    <mergeCell ref="M511:Q511"/>
    <mergeCell ref="AP336:AR336"/>
    <mergeCell ref="J326:AR326"/>
    <mergeCell ref="S509:AR509"/>
    <mergeCell ref="S511:AR511"/>
    <mergeCell ref="J403:AR403"/>
    <mergeCell ref="M509:Q509"/>
    <mergeCell ref="M471:AR471"/>
    <mergeCell ref="M467:AR467"/>
    <mergeCell ref="M499:AR499"/>
    <mergeCell ref="S503:AR503"/>
    <mergeCell ref="S505:AR505"/>
    <mergeCell ref="M503:Q503"/>
    <mergeCell ref="M360:AR360"/>
    <mergeCell ref="M350:AR350"/>
    <mergeCell ref="M358:AR358"/>
    <mergeCell ref="A369:AR369"/>
    <mergeCell ref="M173:AR173"/>
    <mergeCell ref="J211:AR211"/>
    <mergeCell ref="M183:AR183"/>
    <mergeCell ref="M189:AR189"/>
    <mergeCell ref="M175:AR175"/>
    <mergeCell ref="M165:AR165"/>
    <mergeCell ref="M153:AR153"/>
    <mergeCell ref="M151:AR151"/>
    <mergeCell ref="M155:AR155"/>
    <mergeCell ref="M199:AR199"/>
    <mergeCell ref="M191:AR191"/>
    <mergeCell ref="M171:AR171"/>
    <mergeCell ref="M177:AR177"/>
    <mergeCell ref="M185:AR185"/>
    <mergeCell ref="M195:AR195"/>
    <mergeCell ref="M167:AR167"/>
    <mergeCell ref="M169:AR169"/>
    <mergeCell ref="X263:Z263"/>
    <mergeCell ref="M244:AR244"/>
    <mergeCell ref="M246:AR246"/>
    <mergeCell ref="M248:AR248"/>
    <mergeCell ref="V328:AB328"/>
    <mergeCell ref="P330:S330"/>
    <mergeCell ref="J292:AR292"/>
    <mergeCell ref="M147:AR147"/>
    <mergeCell ref="M145:AR145"/>
    <mergeCell ref="U330:V330"/>
    <mergeCell ref="J310:AR310"/>
    <mergeCell ref="V275:AB275"/>
    <mergeCell ref="M222:AR222"/>
    <mergeCell ref="A213:AR213"/>
    <mergeCell ref="J238:AR238"/>
    <mergeCell ref="J256:AR256"/>
    <mergeCell ref="M298:AR298"/>
    <mergeCell ref="J308:AR308"/>
    <mergeCell ref="M316:AR316"/>
    <mergeCell ref="M281:AR281"/>
    <mergeCell ref="M279:AR279"/>
    <mergeCell ref="M287:O287"/>
    <mergeCell ref="Q287:AR287"/>
    <mergeCell ref="M250:AR250"/>
    <mergeCell ref="M265:U265"/>
    <mergeCell ref="AE269:AR269"/>
    <mergeCell ref="J366:AR366"/>
    <mergeCell ref="J419:AR419"/>
    <mergeCell ref="L425:AR425"/>
    <mergeCell ref="J417:AR417"/>
    <mergeCell ref="L377:AR377"/>
    <mergeCell ref="L379:AR379"/>
    <mergeCell ref="L381:AR381"/>
    <mergeCell ref="L391:AR391"/>
    <mergeCell ref="L395:AR395"/>
    <mergeCell ref="L397:AR397"/>
    <mergeCell ref="L399:AR399"/>
    <mergeCell ref="L393:AR393"/>
    <mergeCell ref="J291:AR291"/>
    <mergeCell ref="M338:AR338"/>
    <mergeCell ref="J324:AR324"/>
    <mergeCell ref="W332:Y332"/>
    <mergeCell ref="AP332:AR332"/>
    <mergeCell ref="M334:AR334"/>
    <mergeCell ref="J340:AR340"/>
    <mergeCell ref="L423:AR423"/>
    <mergeCell ref="AP348:AR348"/>
    <mergeCell ref="J385:AR385"/>
    <mergeCell ref="AC370:AH370"/>
    <mergeCell ref="AJ370:AR370"/>
    <mergeCell ref="J433:AR433"/>
    <mergeCell ref="M354:AR354"/>
    <mergeCell ref="L407:AR407"/>
    <mergeCell ref="AJ371:AR371"/>
    <mergeCell ref="AC513:AH513"/>
    <mergeCell ref="L427:AR427"/>
    <mergeCell ref="J387:AR387"/>
    <mergeCell ref="L375:AR375"/>
    <mergeCell ref="L383:AR383"/>
    <mergeCell ref="M507:Q507"/>
    <mergeCell ref="S507:AR507"/>
    <mergeCell ref="A453:AR453"/>
    <mergeCell ref="J435:AR435"/>
    <mergeCell ref="L429:AR429"/>
    <mergeCell ref="M475:AR475"/>
    <mergeCell ref="M483:AR483"/>
    <mergeCell ref="L445:AR445"/>
    <mergeCell ref="M497:AR497"/>
    <mergeCell ref="M481:AR481"/>
    <mergeCell ref="M485:AR485"/>
    <mergeCell ref="M487:AR487"/>
    <mergeCell ref="M469:AR469"/>
    <mergeCell ref="L602:AR602"/>
    <mergeCell ref="J604:AR604"/>
    <mergeCell ref="L598:AR598"/>
    <mergeCell ref="L600:AR600"/>
    <mergeCell ref="B523:AR523"/>
    <mergeCell ref="AC524:AH524"/>
    <mergeCell ref="J539:AR539"/>
    <mergeCell ref="L529:AR529"/>
    <mergeCell ref="J555:AR555"/>
    <mergeCell ref="J557:AR557"/>
    <mergeCell ref="L537:AR537"/>
    <mergeCell ref="L569:AR569"/>
    <mergeCell ref="J571:AR571"/>
    <mergeCell ref="J573:AR573"/>
    <mergeCell ref="AJ525:AR525"/>
    <mergeCell ref="L549:AR549"/>
    <mergeCell ref="L551:AR551"/>
    <mergeCell ref="L531:AR531"/>
    <mergeCell ref="L553:AR553"/>
    <mergeCell ref="L533:AR533"/>
    <mergeCell ref="L678:AR678"/>
    <mergeCell ref="L698:AR698"/>
    <mergeCell ref="J740:AR740"/>
    <mergeCell ref="AC723:AH723"/>
    <mergeCell ref="M479:AR479"/>
    <mergeCell ref="J451:AR451"/>
    <mergeCell ref="L447:AR447"/>
    <mergeCell ref="J449:AR449"/>
    <mergeCell ref="L647:AR647"/>
    <mergeCell ref="L692:AR692"/>
    <mergeCell ref="L716:AR716"/>
    <mergeCell ref="B631:AR631"/>
    <mergeCell ref="J541:AR541"/>
    <mergeCell ref="L584:AR584"/>
    <mergeCell ref="L577:AR577"/>
    <mergeCell ref="L579:AR579"/>
    <mergeCell ref="L535:AR535"/>
    <mergeCell ref="M515:Q515"/>
    <mergeCell ref="L594:AR594"/>
    <mergeCell ref="L561:AR561"/>
    <mergeCell ref="L567:AR567"/>
    <mergeCell ref="L545:AR545"/>
    <mergeCell ref="L610:AR610"/>
    <mergeCell ref="J606:AR606"/>
    <mergeCell ref="J669:AR669"/>
    <mergeCell ref="L581:AR582"/>
    <mergeCell ref="L547:AR547"/>
    <mergeCell ref="L563:AR563"/>
    <mergeCell ref="L565:AR565"/>
    <mergeCell ref="L596:AR596"/>
    <mergeCell ref="L586:AR586"/>
    <mergeCell ref="J590:AR590"/>
    <mergeCell ref="L744:AR744"/>
    <mergeCell ref="J718:AR718"/>
    <mergeCell ref="L714:AR714"/>
    <mergeCell ref="L708:AR708"/>
    <mergeCell ref="L710:AR710"/>
    <mergeCell ref="L712:AR712"/>
    <mergeCell ref="L696:AR696"/>
    <mergeCell ref="J720:AR720"/>
    <mergeCell ref="J700:AR700"/>
    <mergeCell ref="L727:AR727"/>
    <mergeCell ref="J702:AR702"/>
    <mergeCell ref="L706:AR706"/>
    <mergeCell ref="J684:AR684"/>
    <mergeCell ref="L690:AR690"/>
    <mergeCell ref="J686:AR686"/>
    <mergeCell ref="L676:AR676"/>
    <mergeCell ref="J756:AR756"/>
    <mergeCell ref="L750:AR750"/>
    <mergeCell ref="L746:AR746"/>
    <mergeCell ref="L439:AR439"/>
    <mergeCell ref="L441:AR441"/>
    <mergeCell ref="L443:AR443"/>
    <mergeCell ref="L748:AR748"/>
    <mergeCell ref="L659:AR659"/>
    <mergeCell ref="J667:AR667"/>
    <mergeCell ref="L674:AR674"/>
    <mergeCell ref="Q672:AR672"/>
    <mergeCell ref="J649:AR649"/>
    <mergeCell ref="L655:AR655"/>
    <mergeCell ref="L657:AR657"/>
    <mergeCell ref="L641:AR641"/>
    <mergeCell ref="L694:AR694"/>
    <mergeCell ref="B722:AR722"/>
    <mergeCell ref="L682:AR682"/>
    <mergeCell ref="L661:AR661"/>
    <mergeCell ref="L663:AR663"/>
    <mergeCell ref="L621:AR623"/>
    <mergeCell ref="L625:AR625"/>
    <mergeCell ref="AJ723:AR723"/>
    <mergeCell ref="L752:AR752"/>
    <mergeCell ref="J754:AR754"/>
    <mergeCell ref="L732:AR732"/>
    <mergeCell ref="L729:AR729"/>
    <mergeCell ref="L730:AR730"/>
    <mergeCell ref="J738:AR738"/>
    <mergeCell ref="L736:AR736"/>
    <mergeCell ref="AJ524:AR524"/>
    <mergeCell ref="J629:AR629"/>
    <mergeCell ref="L614:AR614"/>
    <mergeCell ref="L612:AR612"/>
    <mergeCell ref="J627:AR627"/>
    <mergeCell ref="L616:AR619"/>
    <mergeCell ref="L680:AR680"/>
    <mergeCell ref="L734:AQ734"/>
    <mergeCell ref="AJ632:AR632"/>
    <mergeCell ref="AJ633:AR633"/>
    <mergeCell ref="AC632:AH632"/>
    <mergeCell ref="L643:AR643"/>
    <mergeCell ref="L665:AR665"/>
    <mergeCell ref="L645:AR645"/>
    <mergeCell ref="J588:AR588"/>
    <mergeCell ref="L637:AR637"/>
    <mergeCell ref="L639:AR639"/>
    <mergeCell ref="J651:AR651"/>
    <mergeCell ref="AJ214:AR214"/>
    <mergeCell ref="AJ215:AR215"/>
    <mergeCell ref="W517:AR517"/>
    <mergeCell ref="M521:AR521"/>
    <mergeCell ref="M519:AR519"/>
    <mergeCell ref="M352:AR352"/>
    <mergeCell ref="M362:X362"/>
    <mergeCell ref="M356:AR356"/>
    <mergeCell ref="M505:Q505"/>
    <mergeCell ref="M495:AR495"/>
    <mergeCell ref="L409:AR409"/>
    <mergeCell ref="L411:AR411"/>
    <mergeCell ref="L415:AR415"/>
    <mergeCell ref="L413:AR413"/>
    <mergeCell ref="M489:AR489"/>
    <mergeCell ref="M491:AR491"/>
    <mergeCell ref="M493:AR493"/>
    <mergeCell ref="M473:AR473"/>
    <mergeCell ref="M461:AR461"/>
    <mergeCell ref="M463:AR463"/>
    <mergeCell ref="M465:AR465"/>
    <mergeCell ref="AC454:AH454"/>
    <mergeCell ref="AJ454:AR454"/>
    <mergeCell ref="AJ455:AR455"/>
    <mergeCell ref="J236:AR236"/>
    <mergeCell ref="M234:AR234"/>
    <mergeCell ref="M459:AR459"/>
    <mergeCell ref="L431:AR431"/>
    <mergeCell ref="AG7:AI7"/>
    <mergeCell ref="N79:R79"/>
    <mergeCell ref="M201:AR201"/>
    <mergeCell ref="M205:AR205"/>
    <mergeCell ref="M209:AR209"/>
    <mergeCell ref="AC29:AH29"/>
    <mergeCell ref="AJ29:AR29"/>
    <mergeCell ref="J273:AR273"/>
    <mergeCell ref="M93:AR93"/>
    <mergeCell ref="N75:O75"/>
    <mergeCell ref="AQ75:AR75"/>
    <mergeCell ref="V77:AR77"/>
    <mergeCell ref="W64:AR64"/>
    <mergeCell ref="V58:W58"/>
    <mergeCell ref="AQ58:AR58"/>
    <mergeCell ref="AQ60:AR60"/>
    <mergeCell ref="M232:AR232"/>
    <mergeCell ref="M230:AR230"/>
    <mergeCell ref="M252:AR252"/>
    <mergeCell ref="AC214:AH214"/>
  </mergeCells>
  <dataValidations count="20">
    <dataValidation type="list" allowBlank="1" showInputMessage="1" showErrorMessage="1" sqref="M511:Q512 AP285:AR285 M287:O287 W332:Y332 X263:Z263 U333:W333 AP332:AR333 AP336:AR336 AP347:AR348 O39:P39 L58:M58 AQ58:AR58 O45:P45 O47:P47 O49 Q64:R64 N69 N67:O67 N71:O71 AA60:AB60 O52:P52 O54:P54 O41:P41 O37:P37 V73 M105:O105">
      <formula1>list2a</formula1>
    </dataValidation>
    <dataValidation type="list" allowBlank="1" showInputMessage="1" showErrorMessage="1" sqref="M505:M506">
      <formula1>list60</formula1>
    </dataValidation>
    <dataValidation type="list" allowBlank="1" showInputMessage="1" showErrorMessage="1" sqref="M515:Q515 N513:Q513">
      <formula1>list61a</formula1>
    </dataValidation>
    <dataValidation type="list" allowBlank="1" showInputMessage="1" showErrorMessage="1" sqref="M517">
      <formula1>list62</formula1>
    </dataValidation>
    <dataValidation type="list" allowBlank="1" showInputMessage="1" showErrorMessage="1" sqref="M507:Q507">
      <formula1>list69</formula1>
    </dataValidation>
    <dataValidation type="list" allowBlank="1" showInputMessage="1" showErrorMessage="1" sqref="M503:Q503">
      <formula1>list59b</formula1>
    </dataValidation>
    <dataValidation type="list" allowBlank="1" showInputMessage="1" showErrorMessage="1" sqref="AC513:AH513">
      <formula1>list61</formula1>
    </dataValidation>
    <dataValidation type="list" allowBlank="1" showInputMessage="1" showErrorMessage="1" sqref="M509:Q509">
      <formula1>list74a</formula1>
    </dataValidation>
    <dataValidation type="date" allowBlank="1" showInputMessage="1" showErrorMessage="1" sqref="S513:V513 X515:AA515 AD267:AG267">
      <formula1>36526</formula1>
      <formula2>47484</formula2>
    </dataValidation>
    <dataValidation type="list" allowBlank="1" showInputMessage="1" showErrorMessage="1" sqref="M362:M363">
      <formula1>list68</formula1>
    </dataValidation>
    <dataValidation type="list" allowBlank="1" showInputMessage="1" showErrorMessage="1" sqref="AM268">
      <formula1>list1</formula1>
    </dataValidation>
    <dataValidation type="list" allowBlank="1" showInputMessage="1" showErrorMessage="1" sqref="M265">
      <formula1>list64</formula1>
    </dataValidation>
    <dataValidation type="list" allowBlank="1" showInputMessage="1" showErrorMessage="1" sqref="M267:M268">
      <formula1>list65</formula1>
    </dataValidation>
    <dataValidation type="list" allowBlank="1" showInputMessage="1" showErrorMessage="1" sqref="M269:V269">
      <formula1>list66</formula1>
    </dataValidation>
    <dataValidation type="list" allowBlank="1" showInputMessage="1" showErrorMessage="1" sqref="AN267:AR267">
      <formula1>list2c</formula1>
    </dataValidation>
    <dataValidation type="list" allowBlank="1" showInputMessage="1" showErrorMessage="1" sqref="AM275:AR275 AK344 AL345:AR346 AK99 AK86">
      <formula1>list100</formula1>
    </dataValidation>
    <dataValidation type="list" allowBlank="1" showInputMessage="1" showErrorMessage="1" sqref="V328:AB328 V275:AB275">
      <formula1>list75</formula1>
    </dataValidation>
    <dataValidation type="list" allowBlank="1" showInputMessage="1" showErrorMessage="1" sqref="M103:M104">
      <formula1>list71</formula1>
    </dataValidation>
    <dataValidation type="list" allowBlank="1" showInputMessage="1" showErrorMessage="1" sqref="N79">
      <formula1>list70a</formula1>
    </dataValidation>
    <dataValidation type="list" allowBlank="1" showInputMessage="1" showErrorMessage="1" sqref="P72">
      <formula1>list2</formula1>
    </dataValidation>
  </dataValidations>
  <hyperlinks>
    <hyperlink ref="AC524:AH524" location="Camping!A1" display="Camping!A1"/>
    <hyperlink ref="AJ525:AR525" location="CAMPTRANSPORT" display="CAMPTRANSPORT"/>
    <hyperlink ref="AC82:AH82" location="Camping!A1" display="GO TO TOP"/>
    <hyperlink ref="AJ83:AR83" location="CampOtherPrograms" display="DOWN ONE SECTION"/>
    <hyperlink ref="AH82:AI82" location="ARA!AS62" display="UP ONE SECTION"/>
    <hyperlink ref="AJ82:AR82" location="CampOperations" display="UP ONE SECTION"/>
    <hyperlink ref="AC214:AH214" location="Camping!A1" display="GO TO TOP"/>
    <hyperlink ref="AJ215:AR215" location="CAMPOTHER" display="DOWN ONE SECTION"/>
    <hyperlink ref="AH214:AI214" location="ARA!AS62" display="UP ONE SECTION"/>
    <hyperlink ref="AJ214:AR214" location="CAMPAQUATIC" display="UP ONE SECTION"/>
    <hyperlink ref="AC454:AH454" location="Camping!A1" display="GO TO TOP"/>
    <hyperlink ref="AJ454:AR454" location="CAMPOTHER" display="UP ONE SECTION"/>
    <hyperlink ref="AJ455:AR455" location="CAMPPHOTOS" display="DOWN ONE SECTION"/>
    <hyperlink ref="AC632:AH632" location="Camping!A1" display="GO TO TOP"/>
    <hyperlink ref="AJ632:AR632" location="ABUSEPREVENT" display="UP ONE SECTION"/>
    <hyperlink ref="AJ633:AR633" location="CAMPCOLLABORATIONS" display="DOWN ONE SECTION"/>
    <hyperlink ref="AC723:AH723" location="Camping!A1" display="GO TO TOP"/>
    <hyperlink ref="AJ723:AR723" location="CAMPTRANSPORT" display="UP ONE SECTION"/>
    <hyperlink ref="C16:I16" location="PHOTOS" display="GO TO PHOTOS"/>
    <hyperlink ref="K16:U16" location="ABUSEPREVENT" display="ABUSEPREVENT"/>
    <hyperlink ref="W16:AF16" location="CAMPTRANSPORT" display="CAMPTRANSPORT"/>
    <hyperlink ref="AH16:AR16" location="CAMPCOLLABORATIONS" display="CAMPCOLLABORATIONS"/>
    <hyperlink ref="AJ370:AR370" location="CampOtherPrograms" display="UP ONE SECTION"/>
    <hyperlink ref="AC370:AH370" location="Camping!A1" display="GO TO TOP"/>
    <hyperlink ref="AJ524:AR524" location="CAMPPHOTOS" display="UP ONE SECTION"/>
    <hyperlink ref="AC29:AH29" location="Camping!A1" display="GO TO TOP"/>
    <hyperlink ref="AJ29:AR29" location="CAMPAQUATIC" display="DOWN ONE SECTION"/>
    <hyperlink ref="AH29:AI29" location="ARA!AS62" display="UP ONE SECTION"/>
    <hyperlink ref="C14:J14" location="CAMPAQUATIC" display="GO TO AQUATICS"/>
    <hyperlink ref="L14:V14" location="CampOtherPrograms" display="GO TO OTHER PROGRAMS"/>
    <hyperlink ref="X14:AJ14" location="CAMPOTHER" display="CAMPOTHER"/>
    <hyperlink ref="AJ371:AR371" location="CampFacility" display="DOWN ONE SECTION"/>
    <hyperlink ref="AL14:AR14" location="CampFacility" display="GO TO FACILITY "/>
  </hyperlinks>
  <pageMargins left="0.22" right="0.25" top="0.25" bottom="0.75" header="0.25" footer="0.5"/>
  <pageSetup scale="72" orientation="portrait"/>
  <headerFooter alignWithMargins="0">
    <oddFooter>&amp;L 2009 ARA - ver. 7.0 - 9/30/09&amp;Cname - page &amp;P of &amp;N&amp;Rdocument modified on xx/xx/xx</oddFooter>
  </headerFooter>
  <colBreaks count="1" manualBreakCount="1">
    <brk id="46"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22</xdr:col>
                    <xdr:colOff>38100</xdr:colOff>
                    <xdr:row>29</xdr:row>
                    <xdr:rowOff>419100</xdr:rowOff>
                  </from>
                  <to>
                    <xdr:col>26</xdr:col>
                    <xdr:colOff>48986</xdr:colOff>
                    <xdr:row>31</xdr:row>
                    <xdr:rowOff>48986</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28</xdr:col>
                    <xdr:colOff>125186</xdr:colOff>
                    <xdr:row>29</xdr:row>
                    <xdr:rowOff>419100</xdr:rowOff>
                  </from>
                  <to>
                    <xdr:col>32</xdr:col>
                    <xdr:colOff>48986</xdr:colOff>
                    <xdr:row>31</xdr:row>
                    <xdr:rowOff>48986</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34</xdr:col>
                    <xdr:colOff>103414</xdr:colOff>
                    <xdr:row>29</xdr:row>
                    <xdr:rowOff>419100</xdr:rowOff>
                  </from>
                  <to>
                    <xdr:col>38</xdr:col>
                    <xdr:colOff>0</xdr:colOff>
                    <xdr:row>31</xdr:row>
                    <xdr:rowOff>48986</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39</xdr:col>
                    <xdr:colOff>103414</xdr:colOff>
                    <xdr:row>29</xdr:row>
                    <xdr:rowOff>419100</xdr:rowOff>
                  </from>
                  <to>
                    <xdr:col>43</xdr:col>
                    <xdr:colOff>48986</xdr:colOff>
                    <xdr:row>31</xdr:row>
                    <xdr:rowOff>48986</xdr:rowOff>
                  </to>
                </anchor>
              </controlPr>
            </control>
          </mc:Choice>
        </mc:AlternateContent>
        <mc:AlternateContent xmlns:mc="http://schemas.openxmlformats.org/markup-compatibility/2006">
          <mc:Choice Requires="x14">
            <control shapeId="9272" r:id="rId7" name="Check Box 56">
              <controlPr defaultSize="0" autoFill="0" autoLine="0" autoPict="0">
                <anchor moveWithCells="1">
                  <from>
                    <xdr:col>20</xdr:col>
                    <xdr:colOff>48986</xdr:colOff>
                    <xdr:row>80</xdr:row>
                    <xdr:rowOff>76200</xdr:rowOff>
                  </from>
                  <to>
                    <xdr:col>42</xdr:col>
                    <xdr:colOff>87086</xdr:colOff>
                    <xdr:row>80</xdr:row>
                    <xdr:rowOff>370114</xdr:rowOff>
                  </to>
                </anchor>
              </controlPr>
            </control>
          </mc:Choice>
        </mc:AlternateContent>
        <mc:AlternateContent xmlns:mc="http://schemas.openxmlformats.org/markup-compatibility/2006">
          <mc:Choice Requires="x14">
            <control shapeId="9273" r:id="rId8" name="Check Box 57">
              <controlPr defaultSize="0" autoFill="0" autoLine="0" autoPict="0">
                <anchor moveWithCells="1">
                  <from>
                    <xdr:col>4</xdr:col>
                    <xdr:colOff>152400</xdr:colOff>
                    <xdr:row>87</xdr:row>
                    <xdr:rowOff>27214</xdr:rowOff>
                  </from>
                  <to>
                    <xdr:col>11</xdr:col>
                    <xdr:colOff>10886</xdr:colOff>
                    <xdr:row>88</xdr:row>
                    <xdr:rowOff>255814</xdr:rowOff>
                  </to>
                </anchor>
              </controlPr>
            </control>
          </mc:Choice>
        </mc:AlternateContent>
        <mc:AlternateContent xmlns:mc="http://schemas.openxmlformats.org/markup-compatibility/2006">
          <mc:Choice Requires="x14">
            <control shapeId="9274" r:id="rId9" name="Check Box 58">
              <controlPr defaultSize="0" autoFill="0" autoLine="0" autoPict="0">
                <anchor moveWithCells="1">
                  <from>
                    <xdr:col>4</xdr:col>
                    <xdr:colOff>141514</xdr:colOff>
                    <xdr:row>89</xdr:row>
                    <xdr:rowOff>38100</xdr:rowOff>
                  </from>
                  <to>
                    <xdr:col>11</xdr:col>
                    <xdr:colOff>38100</xdr:colOff>
                    <xdr:row>90</xdr:row>
                    <xdr:rowOff>255814</xdr:rowOff>
                  </to>
                </anchor>
              </controlPr>
            </control>
          </mc:Choice>
        </mc:AlternateContent>
        <mc:AlternateContent xmlns:mc="http://schemas.openxmlformats.org/markup-compatibility/2006">
          <mc:Choice Requires="x14">
            <control shapeId="9275" r:id="rId10" name="Check Box 59">
              <controlPr defaultSize="0" autoFill="0" autoLine="0" autoPict="0">
                <anchor moveWithCells="1">
                  <from>
                    <xdr:col>4</xdr:col>
                    <xdr:colOff>152400</xdr:colOff>
                    <xdr:row>85</xdr:row>
                    <xdr:rowOff>179614</xdr:rowOff>
                  </from>
                  <to>
                    <xdr:col>8</xdr:col>
                    <xdr:colOff>10886</xdr:colOff>
                    <xdr:row>87</xdr:row>
                    <xdr:rowOff>48986</xdr:rowOff>
                  </to>
                </anchor>
              </controlPr>
            </control>
          </mc:Choice>
        </mc:AlternateContent>
        <mc:AlternateContent xmlns:mc="http://schemas.openxmlformats.org/markup-compatibility/2006">
          <mc:Choice Requires="x14">
            <control shapeId="9276" r:id="rId11" name="Check Box 60">
              <controlPr locked="0" defaultSize="0" autoFill="0" autoLine="0" autoPict="0">
                <anchor moveWithCells="1">
                  <from>
                    <xdr:col>4</xdr:col>
                    <xdr:colOff>152400</xdr:colOff>
                    <xdr:row>93</xdr:row>
                    <xdr:rowOff>27214</xdr:rowOff>
                  </from>
                  <to>
                    <xdr:col>10</xdr:col>
                    <xdr:colOff>163286</xdr:colOff>
                    <xdr:row>95</xdr:row>
                    <xdr:rowOff>10886</xdr:rowOff>
                  </to>
                </anchor>
              </controlPr>
            </control>
          </mc:Choice>
        </mc:AlternateContent>
        <mc:AlternateContent xmlns:mc="http://schemas.openxmlformats.org/markup-compatibility/2006">
          <mc:Choice Requires="x14">
            <control shapeId="9277" r:id="rId12" name="Check Box 61">
              <controlPr defaultSize="0" autoFill="0" autoLine="0" autoPict="0">
                <anchor moveWithCells="1">
                  <from>
                    <xdr:col>39</xdr:col>
                    <xdr:colOff>125186</xdr:colOff>
                    <xdr:row>99</xdr:row>
                    <xdr:rowOff>179614</xdr:rowOff>
                  </from>
                  <to>
                    <xdr:col>43</xdr:col>
                    <xdr:colOff>141514</xdr:colOff>
                    <xdr:row>101</xdr:row>
                    <xdr:rowOff>48986</xdr:rowOff>
                  </to>
                </anchor>
              </controlPr>
            </control>
          </mc:Choice>
        </mc:AlternateContent>
        <mc:AlternateContent xmlns:mc="http://schemas.openxmlformats.org/markup-compatibility/2006">
          <mc:Choice Requires="x14">
            <control shapeId="9278" r:id="rId13" name="Check Box 62">
              <controlPr defaultSize="0" autoFill="0" autoLine="0" autoPict="0">
                <anchor moveWithCells="1">
                  <from>
                    <xdr:col>4</xdr:col>
                    <xdr:colOff>152400</xdr:colOff>
                    <xdr:row>98</xdr:row>
                    <xdr:rowOff>179614</xdr:rowOff>
                  </from>
                  <to>
                    <xdr:col>7</xdr:col>
                    <xdr:colOff>163286</xdr:colOff>
                    <xdr:row>100</xdr:row>
                    <xdr:rowOff>48986</xdr:rowOff>
                  </to>
                </anchor>
              </controlPr>
            </control>
          </mc:Choice>
        </mc:AlternateContent>
        <mc:AlternateContent xmlns:mc="http://schemas.openxmlformats.org/markup-compatibility/2006">
          <mc:Choice Requires="x14">
            <control shapeId="9298" r:id="rId14" name="Check Box 82">
              <controlPr locked="0" defaultSize="0" autoFill="0" autoLine="0" autoPict="0">
                <anchor moveWithCells="1">
                  <from>
                    <xdr:col>23</xdr:col>
                    <xdr:colOff>179614</xdr:colOff>
                    <xdr:row>99</xdr:row>
                    <xdr:rowOff>179614</xdr:rowOff>
                  </from>
                  <to>
                    <xdr:col>28</xdr:col>
                    <xdr:colOff>190500</xdr:colOff>
                    <xdr:row>101</xdr:row>
                    <xdr:rowOff>48986</xdr:rowOff>
                  </to>
                </anchor>
              </controlPr>
            </control>
          </mc:Choice>
        </mc:AlternateContent>
        <mc:AlternateContent xmlns:mc="http://schemas.openxmlformats.org/markup-compatibility/2006">
          <mc:Choice Requires="x14">
            <control shapeId="9299" r:id="rId15" name="Check Box 83">
              <controlPr locked="0" defaultSize="0" autoFill="0" autoLine="0" autoPict="0">
                <anchor moveWithCells="1">
                  <from>
                    <xdr:col>29</xdr:col>
                    <xdr:colOff>125186</xdr:colOff>
                    <xdr:row>99</xdr:row>
                    <xdr:rowOff>163286</xdr:rowOff>
                  </from>
                  <to>
                    <xdr:col>35</xdr:col>
                    <xdr:colOff>0</xdr:colOff>
                    <xdr:row>101</xdr:row>
                    <xdr:rowOff>27214</xdr:rowOff>
                  </to>
                </anchor>
              </controlPr>
            </control>
          </mc:Choice>
        </mc:AlternateContent>
        <mc:AlternateContent xmlns:mc="http://schemas.openxmlformats.org/markup-compatibility/2006">
          <mc:Choice Requires="x14">
            <control shapeId="9300" r:id="rId16" name="Check Box 84">
              <controlPr defaultSize="0" autoFill="0" autoLine="0" autoPict="0">
                <anchor moveWithCells="1">
                  <from>
                    <xdr:col>15</xdr:col>
                    <xdr:colOff>65314</xdr:colOff>
                    <xdr:row>99</xdr:row>
                    <xdr:rowOff>163286</xdr:rowOff>
                  </from>
                  <to>
                    <xdr:col>23</xdr:col>
                    <xdr:colOff>141514</xdr:colOff>
                    <xdr:row>101</xdr:row>
                    <xdr:rowOff>27214</xdr:rowOff>
                  </to>
                </anchor>
              </controlPr>
            </control>
          </mc:Choice>
        </mc:AlternateContent>
        <mc:AlternateContent xmlns:mc="http://schemas.openxmlformats.org/markup-compatibility/2006">
          <mc:Choice Requires="x14">
            <control shapeId="9335" r:id="rId17" name="Check Box 119">
              <controlPr defaultSize="0" autoFill="0" autoLine="0" autoPict="0">
                <anchor moveWithCells="1">
                  <from>
                    <xdr:col>12</xdr:col>
                    <xdr:colOff>163286</xdr:colOff>
                    <xdr:row>218</xdr:row>
                    <xdr:rowOff>239486</xdr:rowOff>
                  </from>
                  <to>
                    <xdr:col>16</xdr:col>
                    <xdr:colOff>48986</xdr:colOff>
                    <xdr:row>220</xdr:row>
                    <xdr:rowOff>76200</xdr:rowOff>
                  </to>
                </anchor>
              </controlPr>
            </control>
          </mc:Choice>
        </mc:AlternateContent>
        <mc:AlternateContent xmlns:mc="http://schemas.openxmlformats.org/markup-compatibility/2006">
          <mc:Choice Requires="x14">
            <control shapeId="9336" r:id="rId18" name="Check Box 120">
              <controlPr defaultSize="0" autoFill="0" autoLine="0" autoPict="0">
                <anchor moveWithCells="1">
                  <from>
                    <xdr:col>16</xdr:col>
                    <xdr:colOff>114300</xdr:colOff>
                    <xdr:row>218</xdr:row>
                    <xdr:rowOff>239486</xdr:rowOff>
                  </from>
                  <to>
                    <xdr:col>19</xdr:col>
                    <xdr:colOff>228600</xdr:colOff>
                    <xdr:row>220</xdr:row>
                    <xdr:rowOff>76200</xdr:rowOff>
                  </to>
                </anchor>
              </controlPr>
            </control>
          </mc:Choice>
        </mc:AlternateContent>
        <mc:AlternateContent xmlns:mc="http://schemas.openxmlformats.org/markup-compatibility/2006">
          <mc:Choice Requires="x14">
            <control shapeId="9337" r:id="rId19" name="Check Box 121">
              <controlPr defaultSize="0" autoFill="0" autoLine="0" autoPict="0">
                <anchor moveWithCells="1">
                  <from>
                    <xdr:col>20</xdr:col>
                    <xdr:colOff>152400</xdr:colOff>
                    <xdr:row>218</xdr:row>
                    <xdr:rowOff>239486</xdr:rowOff>
                  </from>
                  <to>
                    <xdr:col>25</xdr:col>
                    <xdr:colOff>190500</xdr:colOff>
                    <xdr:row>220</xdr:row>
                    <xdr:rowOff>76200</xdr:rowOff>
                  </to>
                </anchor>
              </controlPr>
            </control>
          </mc:Choice>
        </mc:AlternateContent>
        <mc:AlternateContent xmlns:mc="http://schemas.openxmlformats.org/markup-compatibility/2006">
          <mc:Choice Requires="x14">
            <control shapeId="9338" r:id="rId20" name="Check Box 122">
              <controlPr defaultSize="0" autoFill="0" autoLine="0" autoPict="0">
                <anchor moveWithCells="1">
                  <from>
                    <xdr:col>26</xdr:col>
                    <xdr:colOff>87086</xdr:colOff>
                    <xdr:row>218</xdr:row>
                    <xdr:rowOff>239486</xdr:rowOff>
                  </from>
                  <to>
                    <xdr:col>32</xdr:col>
                    <xdr:colOff>65314</xdr:colOff>
                    <xdr:row>220</xdr:row>
                    <xdr:rowOff>76200</xdr:rowOff>
                  </to>
                </anchor>
              </controlPr>
            </control>
          </mc:Choice>
        </mc:AlternateContent>
        <mc:AlternateContent xmlns:mc="http://schemas.openxmlformats.org/markup-compatibility/2006">
          <mc:Choice Requires="x14">
            <control shapeId="9339" r:id="rId21" name="Check Box 123">
              <controlPr defaultSize="0" autoFill="0" autoLine="0" autoPict="0">
                <anchor moveWithCells="1">
                  <from>
                    <xdr:col>40</xdr:col>
                    <xdr:colOff>27214</xdr:colOff>
                    <xdr:row>218</xdr:row>
                    <xdr:rowOff>239486</xdr:rowOff>
                  </from>
                  <to>
                    <xdr:col>43</xdr:col>
                    <xdr:colOff>103414</xdr:colOff>
                    <xdr:row>220</xdr:row>
                    <xdr:rowOff>76200</xdr:rowOff>
                  </to>
                </anchor>
              </controlPr>
            </control>
          </mc:Choice>
        </mc:AlternateContent>
        <mc:AlternateContent xmlns:mc="http://schemas.openxmlformats.org/markup-compatibility/2006">
          <mc:Choice Requires="x14">
            <control shapeId="9346" r:id="rId22" name="Check Box 130">
              <controlPr defaultSize="0" autoFill="0" autoLine="0" autoPict="0">
                <anchor moveWithCells="1">
                  <from>
                    <xdr:col>25</xdr:col>
                    <xdr:colOff>152400</xdr:colOff>
                    <xdr:row>240</xdr:row>
                    <xdr:rowOff>27214</xdr:rowOff>
                  </from>
                  <to>
                    <xdr:col>29</xdr:col>
                    <xdr:colOff>65314</xdr:colOff>
                    <xdr:row>242</xdr:row>
                    <xdr:rowOff>27214</xdr:rowOff>
                  </to>
                </anchor>
              </controlPr>
            </control>
          </mc:Choice>
        </mc:AlternateContent>
        <mc:AlternateContent xmlns:mc="http://schemas.openxmlformats.org/markup-compatibility/2006">
          <mc:Choice Requires="x14">
            <control shapeId="9347" r:id="rId23" name="Check Box 131">
              <controlPr defaultSize="0" autoFill="0" autoLine="0" autoPict="0">
                <anchor moveWithCells="1">
                  <from>
                    <xdr:col>29</xdr:col>
                    <xdr:colOff>141514</xdr:colOff>
                    <xdr:row>240</xdr:row>
                    <xdr:rowOff>38100</xdr:rowOff>
                  </from>
                  <to>
                    <xdr:col>34</xdr:col>
                    <xdr:colOff>65314</xdr:colOff>
                    <xdr:row>242</xdr:row>
                    <xdr:rowOff>38100</xdr:rowOff>
                  </to>
                </anchor>
              </controlPr>
            </control>
          </mc:Choice>
        </mc:AlternateContent>
        <mc:AlternateContent xmlns:mc="http://schemas.openxmlformats.org/markup-compatibility/2006">
          <mc:Choice Requires="x14">
            <control shapeId="9348" r:id="rId24" name="Check Box 132">
              <controlPr defaultSize="0" autoFill="0" autoLine="0" autoPict="0">
                <anchor moveWithCells="1">
                  <from>
                    <xdr:col>11</xdr:col>
                    <xdr:colOff>38100</xdr:colOff>
                    <xdr:row>240</xdr:row>
                    <xdr:rowOff>38100</xdr:rowOff>
                  </from>
                  <to>
                    <xdr:col>19</xdr:col>
                    <xdr:colOff>65314</xdr:colOff>
                    <xdr:row>242</xdr:row>
                    <xdr:rowOff>38100</xdr:rowOff>
                  </to>
                </anchor>
              </controlPr>
            </control>
          </mc:Choice>
        </mc:AlternateContent>
        <mc:AlternateContent xmlns:mc="http://schemas.openxmlformats.org/markup-compatibility/2006">
          <mc:Choice Requires="x14">
            <control shapeId="9349" r:id="rId25" name="Check Box 133">
              <controlPr defaultSize="0" autoFill="0" autoLine="0" autoPict="0">
                <anchor moveWithCells="1">
                  <from>
                    <xdr:col>34</xdr:col>
                    <xdr:colOff>114300</xdr:colOff>
                    <xdr:row>240</xdr:row>
                    <xdr:rowOff>38100</xdr:rowOff>
                  </from>
                  <to>
                    <xdr:col>44</xdr:col>
                    <xdr:colOff>103414</xdr:colOff>
                    <xdr:row>242</xdr:row>
                    <xdr:rowOff>38100</xdr:rowOff>
                  </to>
                </anchor>
              </controlPr>
            </control>
          </mc:Choice>
        </mc:AlternateContent>
        <mc:AlternateContent xmlns:mc="http://schemas.openxmlformats.org/markup-compatibility/2006">
          <mc:Choice Requires="x14">
            <control shapeId="9350" r:id="rId26" name="Check Box 134">
              <controlPr defaultSize="0" autoFill="0" autoLine="0" autoPict="0">
                <anchor moveWithCells="1">
                  <from>
                    <xdr:col>7</xdr:col>
                    <xdr:colOff>76200</xdr:colOff>
                    <xdr:row>240</xdr:row>
                    <xdr:rowOff>27214</xdr:rowOff>
                  </from>
                  <to>
                    <xdr:col>10</xdr:col>
                    <xdr:colOff>152400</xdr:colOff>
                    <xdr:row>242</xdr:row>
                    <xdr:rowOff>27214</xdr:rowOff>
                  </to>
                </anchor>
              </controlPr>
            </control>
          </mc:Choice>
        </mc:AlternateContent>
        <mc:AlternateContent xmlns:mc="http://schemas.openxmlformats.org/markup-compatibility/2006">
          <mc:Choice Requires="x14">
            <control shapeId="9353" r:id="rId27" name="Check Box 137">
              <controlPr defaultSize="0" autoFill="0" autoLine="0" autoPict="0">
                <anchor moveWithCells="1">
                  <from>
                    <xdr:col>33</xdr:col>
                    <xdr:colOff>38100</xdr:colOff>
                    <xdr:row>218</xdr:row>
                    <xdr:rowOff>239486</xdr:rowOff>
                  </from>
                  <to>
                    <xdr:col>39</xdr:col>
                    <xdr:colOff>87086</xdr:colOff>
                    <xdr:row>220</xdr:row>
                    <xdr:rowOff>76200</xdr:rowOff>
                  </to>
                </anchor>
              </controlPr>
            </control>
          </mc:Choice>
        </mc:AlternateContent>
        <mc:AlternateContent xmlns:mc="http://schemas.openxmlformats.org/markup-compatibility/2006">
          <mc:Choice Requires="x14">
            <control shapeId="9354" r:id="rId28" name="Check Box 138">
              <controlPr defaultSize="0" autoFill="0" autoLine="0" autoPict="0">
                <anchor moveWithCells="1">
                  <from>
                    <xdr:col>12</xdr:col>
                    <xdr:colOff>141514</xdr:colOff>
                    <xdr:row>257</xdr:row>
                    <xdr:rowOff>217714</xdr:rowOff>
                  </from>
                  <to>
                    <xdr:col>20</xdr:col>
                    <xdr:colOff>65314</xdr:colOff>
                    <xdr:row>259</xdr:row>
                    <xdr:rowOff>38100</xdr:rowOff>
                  </to>
                </anchor>
              </controlPr>
            </control>
          </mc:Choice>
        </mc:AlternateContent>
        <mc:AlternateContent xmlns:mc="http://schemas.openxmlformats.org/markup-compatibility/2006">
          <mc:Choice Requires="x14">
            <control shapeId="9355" r:id="rId29" name="Check Box 139">
              <controlPr defaultSize="0" autoFill="0" autoLine="0" autoPict="0">
                <anchor moveWithCells="1">
                  <from>
                    <xdr:col>20</xdr:col>
                    <xdr:colOff>10886</xdr:colOff>
                    <xdr:row>257</xdr:row>
                    <xdr:rowOff>217714</xdr:rowOff>
                  </from>
                  <to>
                    <xdr:col>25</xdr:col>
                    <xdr:colOff>114300</xdr:colOff>
                    <xdr:row>259</xdr:row>
                    <xdr:rowOff>48986</xdr:rowOff>
                  </to>
                </anchor>
              </controlPr>
            </control>
          </mc:Choice>
        </mc:AlternateContent>
        <mc:AlternateContent xmlns:mc="http://schemas.openxmlformats.org/markup-compatibility/2006">
          <mc:Choice Requires="x14">
            <control shapeId="9356" r:id="rId30" name="Check Box 140">
              <controlPr defaultSize="0" autoFill="0" autoLine="0" autoPict="0">
                <anchor moveWithCells="1">
                  <from>
                    <xdr:col>25</xdr:col>
                    <xdr:colOff>152400</xdr:colOff>
                    <xdr:row>257</xdr:row>
                    <xdr:rowOff>217714</xdr:rowOff>
                  </from>
                  <to>
                    <xdr:col>31</xdr:col>
                    <xdr:colOff>27214</xdr:colOff>
                    <xdr:row>259</xdr:row>
                    <xdr:rowOff>48986</xdr:rowOff>
                  </to>
                </anchor>
              </controlPr>
            </control>
          </mc:Choice>
        </mc:AlternateContent>
        <mc:AlternateContent xmlns:mc="http://schemas.openxmlformats.org/markup-compatibility/2006">
          <mc:Choice Requires="x14">
            <control shapeId="9357" r:id="rId31" name="Check Box 141">
              <controlPr defaultSize="0" autoFill="0" autoLine="0" autoPict="0">
                <anchor moveWithCells="1">
                  <from>
                    <xdr:col>6</xdr:col>
                    <xdr:colOff>163286</xdr:colOff>
                    <xdr:row>257</xdr:row>
                    <xdr:rowOff>217714</xdr:rowOff>
                  </from>
                  <to>
                    <xdr:col>10</xdr:col>
                    <xdr:colOff>27214</xdr:colOff>
                    <xdr:row>259</xdr:row>
                    <xdr:rowOff>38100</xdr:rowOff>
                  </to>
                </anchor>
              </controlPr>
            </control>
          </mc:Choice>
        </mc:AlternateContent>
        <mc:AlternateContent xmlns:mc="http://schemas.openxmlformats.org/markup-compatibility/2006">
          <mc:Choice Requires="x14">
            <control shapeId="9358" r:id="rId32" name="Check Box 142">
              <controlPr defaultSize="0" autoFill="0" autoLine="0" autoPict="0">
                <anchor moveWithCells="1">
                  <from>
                    <xdr:col>32</xdr:col>
                    <xdr:colOff>27214</xdr:colOff>
                    <xdr:row>257</xdr:row>
                    <xdr:rowOff>217714</xdr:rowOff>
                  </from>
                  <to>
                    <xdr:col>38</xdr:col>
                    <xdr:colOff>179614</xdr:colOff>
                    <xdr:row>259</xdr:row>
                    <xdr:rowOff>38100</xdr:rowOff>
                  </to>
                </anchor>
              </controlPr>
            </control>
          </mc:Choice>
        </mc:AlternateContent>
        <mc:AlternateContent xmlns:mc="http://schemas.openxmlformats.org/markup-compatibility/2006">
          <mc:Choice Requires="x14">
            <control shapeId="9359" r:id="rId33" name="Check Box 143">
              <controlPr defaultSize="0" autoFill="0" autoLine="0" autoPict="0">
                <anchor moveWithCells="1">
                  <from>
                    <xdr:col>39</xdr:col>
                    <xdr:colOff>152400</xdr:colOff>
                    <xdr:row>257</xdr:row>
                    <xdr:rowOff>217714</xdr:rowOff>
                  </from>
                  <to>
                    <xdr:col>43</xdr:col>
                    <xdr:colOff>141514</xdr:colOff>
                    <xdr:row>259</xdr:row>
                    <xdr:rowOff>38100</xdr:rowOff>
                  </to>
                </anchor>
              </controlPr>
            </control>
          </mc:Choice>
        </mc:AlternateContent>
        <mc:AlternateContent xmlns:mc="http://schemas.openxmlformats.org/markup-compatibility/2006">
          <mc:Choice Requires="x14">
            <control shapeId="9360" r:id="rId34" name="Check Box 144">
              <controlPr defaultSize="0" autoFill="0" autoLine="0" autoPict="0">
                <anchor moveWithCells="1">
                  <from>
                    <xdr:col>14</xdr:col>
                    <xdr:colOff>10886</xdr:colOff>
                    <xdr:row>275</xdr:row>
                    <xdr:rowOff>228600</xdr:rowOff>
                  </from>
                  <to>
                    <xdr:col>22</xdr:col>
                    <xdr:colOff>48986</xdr:colOff>
                    <xdr:row>277</xdr:row>
                    <xdr:rowOff>38100</xdr:rowOff>
                  </to>
                </anchor>
              </controlPr>
            </control>
          </mc:Choice>
        </mc:AlternateContent>
        <mc:AlternateContent xmlns:mc="http://schemas.openxmlformats.org/markup-compatibility/2006">
          <mc:Choice Requires="x14">
            <control shapeId="9361" r:id="rId35" name="Check Box 145">
              <controlPr defaultSize="0" autoFill="0" autoLine="0" autoPict="0">
                <anchor moveWithCells="1">
                  <from>
                    <xdr:col>23</xdr:col>
                    <xdr:colOff>114300</xdr:colOff>
                    <xdr:row>275</xdr:row>
                    <xdr:rowOff>228600</xdr:rowOff>
                  </from>
                  <to>
                    <xdr:col>29</xdr:col>
                    <xdr:colOff>114300</xdr:colOff>
                    <xdr:row>277</xdr:row>
                    <xdr:rowOff>38100</xdr:rowOff>
                  </to>
                </anchor>
              </controlPr>
            </control>
          </mc:Choice>
        </mc:AlternateContent>
        <mc:AlternateContent xmlns:mc="http://schemas.openxmlformats.org/markup-compatibility/2006">
          <mc:Choice Requires="x14">
            <control shapeId="9362" r:id="rId36" name="Check Box 146">
              <controlPr defaultSize="0" autoFill="0" autoLine="0" autoPict="0">
                <anchor moveWithCells="1">
                  <from>
                    <xdr:col>32</xdr:col>
                    <xdr:colOff>48986</xdr:colOff>
                    <xdr:row>275</xdr:row>
                    <xdr:rowOff>228600</xdr:rowOff>
                  </from>
                  <to>
                    <xdr:col>37</xdr:col>
                    <xdr:colOff>76200</xdr:colOff>
                    <xdr:row>277</xdr:row>
                    <xdr:rowOff>38100</xdr:rowOff>
                  </to>
                </anchor>
              </controlPr>
            </control>
          </mc:Choice>
        </mc:AlternateContent>
        <mc:AlternateContent xmlns:mc="http://schemas.openxmlformats.org/markup-compatibility/2006">
          <mc:Choice Requires="x14">
            <control shapeId="9363" r:id="rId37" name="Check Box 147">
              <controlPr defaultSize="0" autoFill="0" autoLine="0" autoPict="0">
                <anchor moveWithCells="1">
                  <from>
                    <xdr:col>8</xdr:col>
                    <xdr:colOff>141514</xdr:colOff>
                    <xdr:row>275</xdr:row>
                    <xdr:rowOff>228600</xdr:rowOff>
                  </from>
                  <to>
                    <xdr:col>11</xdr:col>
                    <xdr:colOff>201386</xdr:colOff>
                    <xdr:row>277</xdr:row>
                    <xdr:rowOff>38100</xdr:rowOff>
                  </to>
                </anchor>
              </controlPr>
            </control>
          </mc:Choice>
        </mc:AlternateContent>
        <mc:AlternateContent xmlns:mc="http://schemas.openxmlformats.org/markup-compatibility/2006">
          <mc:Choice Requires="x14">
            <control shapeId="9364" r:id="rId38" name="Check Box 148">
              <controlPr defaultSize="0" autoFill="0" autoLine="0" autoPict="0">
                <anchor moveWithCells="1">
                  <from>
                    <xdr:col>39</xdr:col>
                    <xdr:colOff>141514</xdr:colOff>
                    <xdr:row>275</xdr:row>
                    <xdr:rowOff>228600</xdr:rowOff>
                  </from>
                  <to>
                    <xdr:col>43</xdr:col>
                    <xdr:colOff>0</xdr:colOff>
                    <xdr:row>277</xdr:row>
                    <xdr:rowOff>38100</xdr:rowOff>
                  </to>
                </anchor>
              </controlPr>
            </control>
          </mc:Choice>
        </mc:AlternateContent>
        <mc:AlternateContent xmlns:mc="http://schemas.openxmlformats.org/markup-compatibility/2006">
          <mc:Choice Requires="x14">
            <control shapeId="9365" r:id="rId39" name="Check Box 149">
              <controlPr defaultSize="0" autoFill="0" autoLine="0" autoPict="0">
                <anchor moveWithCells="1">
                  <from>
                    <xdr:col>12</xdr:col>
                    <xdr:colOff>114300</xdr:colOff>
                    <xdr:row>294</xdr:row>
                    <xdr:rowOff>38100</xdr:rowOff>
                  </from>
                  <to>
                    <xdr:col>14</xdr:col>
                    <xdr:colOff>179614</xdr:colOff>
                    <xdr:row>296</xdr:row>
                    <xdr:rowOff>38100</xdr:rowOff>
                  </to>
                </anchor>
              </controlPr>
            </control>
          </mc:Choice>
        </mc:AlternateContent>
        <mc:AlternateContent xmlns:mc="http://schemas.openxmlformats.org/markup-compatibility/2006">
          <mc:Choice Requires="x14">
            <control shapeId="9366" r:id="rId40" name="Check Box 150">
              <controlPr defaultSize="0" autoFill="0" autoLine="0" autoPict="0">
                <anchor moveWithCells="1">
                  <from>
                    <xdr:col>15</xdr:col>
                    <xdr:colOff>87086</xdr:colOff>
                    <xdr:row>294</xdr:row>
                    <xdr:rowOff>38100</xdr:rowOff>
                  </from>
                  <to>
                    <xdr:col>22</xdr:col>
                    <xdr:colOff>201386</xdr:colOff>
                    <xdr:row>296</xdr:row>
                    <xdr:rowOff>38100</xdr:rowOff>
                  </to>
                </anchor>
              </controlPr>
            </control>
          </mc:Choice>
        </mc:AlternateContent>
        <mc:AlternateContent xmlns:mc="http://schemas.openxmlformats.org/markup-compatibility/2006">
          <mc:Choice Requires="x14">
            <control shapeId="9367" r:id="rId41" name="Check Box 151">
              <controlPr defaultSize="0" autoFill="0" autoLine="0" autoPict="0">
                <anchor moveWithCells="1">
                  <from>
                    <xdr:col>23</xdr:col>
                    <xdr:colOff>0</xdr:colOff>
                    <xdr:row>294</xdr:row>
                    <xdr:rowOff>38100</xdr:rowOff>
                  </from>
                  <to>
                    <xdr:col>28</xdr:col>
                    <xdr:colOff>179614</xdr:colOff>
                    <xdr:row>296</xdr:row>
                    <xdr:rowOff>38100</xdr:rowOff>
                  </to>
                </anchor>
              </controlPr>
            </control>
          </mc:Choice>
        </mc:AlternateContent>
        <mc:AlternateContent xmlns:mc="http://schemas.openxmlformats.org/markup-compatibility/2006">
          <mc:Choice Requires="x14">
            <control shapeId="9368" r:id="rId42" name="Check Box 152">
              <controlPr defaultSize="0" autoFill="0" autoLine="0" autoPict="0">
                <anchor moveWithCells="1">
                  <from>
                    <xdr:col>8</xdr:col>
                    <xdr:colOff>141514</xdr:colOff>
                    <xdr:row>294</xdr:row>
                    <xdr:rowOff>38100</xdr:rowOff>
                  </from>
                  <to>
                    <xdr:col>11</xdr:col>
                    <xdr:colOff>201386</xdr:colOff>
                    <xdr:row>296</xdr:row>
                    <xdr:rowOff>38100</xdr:rowOff>
                  </to>
                </anchor>
              </controlPr>
            </control>
          </mc:Choice>
        </mc:AlternateContent>
        <mc:AlternateContent xmlns:mc="http://schemas.openxmlformats.org/markup-compatibility/2006">
          <mc:Choice Requires="x14">
            <control shapeId="9369" r:id="rId43" name="Check Box 153">
              <controlPr defaultSize="0" autoFill="0" autoLine="0" autoPict="0">
                <anchor moveWithCells="1">
                  <from>
                    <xdr:col>29</xdr:col>
                    <xdr:colOff>125186</xdr:colOff>
                    <xdr:row>294</xdr:row>
                    <xdr:rowOff>27214</xdr:rowOff>
                  </from>
                  <to>
                    <xdr:col>33</xdr:col>
                    <xdr:colOff>152400</xdr:colOff>
                    <xdr:row>296</xdr:row>
                    <xdr:rowOff>27214</xdr:rowOff>
                  </to>
                </anchor>
              </controlPr>
            </control>
          </mc:Choice>
        </mc:AlternateContent>
        <mc:AlternateContent xmlns:mc="http://schemas.openxmlformats.org/markup-compatibility/2006">
          <mc:Choice Requires="x14">
            <control shapeId="9370" r:id="rId44" name="Check Box 154">
              <controlPr defaultSize="0" autoFill="0" autoLine="0" autoPict="0">
                <anchor moveWithCells="1">
                  <from>
                    <xdr:col>34</xdr:col>
                    <xdr:colOff>87086</xdr:colOff>
                    <xdr:row>294</xdr:row>
                    <xdr:rowOff>27214</xdr:rowOff>
                  </from>
                  <to>
                    <xdr:col>39</xdr:col>
                    <xdr:colOff>48986</xdr:colOff>
                    <xdr:row>296</xdr:row>
                    <xdr:rowOff>27214</xdr:rowOff>
                  </to>
                </anchor>
              </controlPr>
            </control>
          </mc:Choice>
        </mc:AlternateContent>
        <mc:AlternateContent xmlns:mc="http://schemas.openxmlformats.org/markup-compatibility/2006">
          <mc:Choice Requires="x14">
            <control shapeId="9371" r:id="rId45" name="Check Box 155">
              <controlPr defaultSize="0" autoFill="0" autoLine="0" autoPict="0">
                <anchor moveWithCells="1">
                  <from>
                    <xdr:col>40</xdr:col>
                    <xdr:colOff>65314</xdr:colOff>
                    <xdr:row>294</xdr:row>
                    <xdr:rowOff>38100</xdr:rowOff>
                  </from>
                  <to>
                    <xdr:col>43</xdr:col>
                    <xdr:colOff>103414</xdr:colOff>
                    <xdr:row>296</xdr:row>
                    <xdr:rowOff>38100</xdr:rowOff>
                  </to>
                </anchor>
              </controlPr>
            </control>
          </mc:Choice>
        </mc:AlternateContent>
        <mc:AlternateContent xmlns:mc="http://schemas.openxmlformats.org/markup-compatibility/2006">
          <mc:Choice Requires="x14">
            <control shapeId="9372" r:id="rId46" name="Check Box 156">
              <controlPr defaultSize="0" autoFill="0" autoLine="0" autoPict="0">
                <anchor moveWithCells="1">
                  <from>
                    <xdr:col>13</xdr:col>
                    <xdr:colOff>65314</xdr:colOff>
                    <xdr:row>312</xdr:row>
                    <xdr:rowOff>38100</xdr:rowOff>
                  </from>
                  <to>
                    <xdr:col>20</xdr:col>
                    <xdr:colOff>201386</xdr:colOff>
                    <xdr:row>314</xdr:row>
                    <xdr:rowOff>38100</xdr:rowOff>
                  </to>
                </anchor>
              </controlPr>
            </control>
          </mc:Choice>
        </mc:AlternateContent>
        <mc:AlternateContent xmlns:mc="http://schemas.openxmlformats.org/markup-compatibility/2006">
          <mc:Choice Requires="x14">
            <control shapeId="9373" r:id="rId47" name="Check Box 157">
              <controlPr defaultSize="0" autoFill="0" autoLine="0" autoPict="0">
                <anchor moveWithCells="1">
                  <from>
                    <xdr:col>8</xdr:col>
                    <xdr:colOff>141514</xdr:colOff>
                    <xdr:row>312</xdr:row>
                    <xdr:rowOff>38100</xdr:rowOff>
                  </from>
                  <to>
                    <xdr:col>11</xdr:col>
                    <xdr:colOff>201386</xdr:colOff>
                    <xdr:row>314</xdr:row>
                    <xdr:rowOff>38100</xdr:rowOff>
                  </to>
                </anchor>
              </controlPr>
            </control>
          </mc:Choice>
        </mc:AlternateContent>
        <mc:AlternateContent xmlns:mc="http://schemas.openxmlformats.org/markup-compatibility/2006">
          <mc:Choice Requires="x14">
            <control shapeId="9374" r:id="rId48" name="Check Box 158">
              <controlPr defaultSize="0" autoFill="0" autoLine="0" autoPict="0">
                <anchor moveWithCells="1">
                  <from>
                    <xdr:col>8</xdr:col>
                    <xdr:colOff>152400</xdr:colOff>
                    <xdr:row>328</xdr:row>
                    <xdr:rowOff>163286</xdr:rowOff>
                  </from>
                  <to>
                    <xdr:col>12</xdr:col>
                    <xdr:colOff>0</xdr:colOff>
                    <xdr:row>330</xdr:row>
                    <xdr:rowOff>38100</xdr:rowOff>
                  </to>
                </anchor>
              </controlPr>
            </control>
          </mc:Choice>
        </mc:AlternateContent>
        <mc:AlternateContent xmlns:mc="http://schemas.openxmlformats.org/markup-compatibility/2006">
          <mc:Choice Requires="x14">
            <control shapeId="9408" r:id="rId49" name="Check Box 192">
              <controlPr defaultSize="0" autoFill="0" autoLine="0" autoPict="0">
                <anchor moveWithCells="1">
                  <from>
                    <xdr:col>27</xdr:col>
                    <xdr:colOff>152400</xdr:colOff>
                    <xdr:row>452</xdr:row>
                    <xdr:rowOff>48986</xdr:rowOff>
                  </from>
                  <to>
                    <xdr:col>42</xdr:col>
                    <xdr:colOff>114300</xdr:colOff>
                    <xdr:row>452</xdr:row>
                    <xdr:rowOff>391886</xdr:rowOff>
                  </to>
                </anchor>
              </controlPr>
            </control>
          </mc:Choice>
        </mc:AlternateContent>
        <mc:AlternateContent xmlns:mc="http://schemas.openxmlformats.org/markup-compatibility/2006">
          <mc:Choice Requires="x14">
            <control shapeId="9488" r:id="rId50" name="Option Button 272">
              <controlPr defaultSize="0" autoFill="0" autoLine="0" autoPict="0">
                <anchor moveWithCells="1">
                  <from>
                    <xdr:col>5</xdr:col>
                    <xdr:colOff>190500</xdr:colOff>
                    <xdr:row>121</xdr:row>
                    <xdr:rowOff>103414</xdr:rowOff>
                  </from>
                  <to>
                    <xdr:col>7</xdr:col>
                    <xdr:colOff>163286</xdr:colOff>
                    <xdr:row>123</xdr:row>
                    <xdr:rowOff>76200</xdr:rowOff>
                  </to>
                </anchor>
              </controlPr>
            </control>
          </mc:Choice>
        </mc:AlternateContent>
        <mc:AlternateContent xmlns:mc="http://schemas.openxmlformats.org/markup-compatibility/2006">
          <mc:Choice Requires="x14">
            <control shapeId="9489" r:id="rId51" name="Option Button 273">
              <controlPr defaultSize="0" autoFill="0" autoLine="0" autoPict="0">
                <anchor moveWithCells="1">
                  <from>
                    <xdr:col>7</xdr:col>
                    <xdr:colOff>103414</xdr:colOff>
                    <xdr:row>121</xdr:row>
                    <xdr:rowOff>103414</xdr:rowOff>
                  </from>
                  <to>
                    <xdr:col>9</xdr:col>
                    <xdr:colOff>76200</xdr:colOff>
                    <xdr:row>123</xdr:row>
                    <xdr:rowOff>76200</xdr:rowOff>
                  </to>
                </anchor>
              </controlPr>
            </control>
          </mc:Choice>
        </mc:AlternateContent>
        <mc:AlternateContent xmlns:mc="http://schemas.openxmlformats.org/markup-compatibility/2006">
          <mc:Choice Requires="x14">
            <control shapeId="9490" r:id="rId52" name="Option Button 274">
              <controlPr defaultSize="0" autoFill="0" autoLine="0" autoPict="0">
                <anchor moveWithCells="1">
                  <from>
                    <xdr:col>8</xdr:col>
                    <xdr:colOff>201386</xdr:colOff>
                    <xdr:row>121</xdr:row>
                    <xdr:rowOff>103414</xdr:rowOff>
                  </from>
                  <to>
                    <xdr:col>10</xdr:col>
                    <xdr:colOff>179614</xdr:colOff>
                    <xdr:row>123</xdr:row>
                    <xdr:rowOff>76200</xdr:rowOff>
                  </to>
                </anchor>
              </controlPr>
            </control>
          </mc:Choice>
        </mc:AlternateContent>
        <mc:AlternateContent xmlns:mc="http://schemas.openxmlformats.org/markup-compatibility/2006">
          <mc:Choice Requires="x14">
            <control shapeId="9492" r:id="rId53" name="Option Button 276">
              <controlPr defaultSize="0" autoFill="0" autoLine="0" autoPict="0">
                <anchor moveWithCells="1">
                  <from>
                    <xdr:col>5</xdr:col>
                    <xdr:colOff>190500</xdr:colOff>
                    <xdr:row>117</xdr:row>
                    <xdr:rowOff>125186</xdr:rowOff>
                  </from>
                  <to>
                    <xdr:col>7</xdr:col>
                    <xdr:colOff>163286</xdr:colOff>
                    <xdr:row>118</xdr:row>
                    <xdr:rowOff>255814</xdr:rowOff>
                  </to>
                </anchor>
              </controlPr>
            </control>
          </mc:Choice>
        </mc:AlternateContent>
        <mc:AlternateContent xmlns:mc="http://schemas.openxmlformats.org/markup-compatibility/2006">
          <mc:Choice Requires="x14">
            <control shapeId="9493" r:id="rId54" name="Option Button 277">
              <controlPr defaultSize="0" autoFill="0" autoLine="0" autoPict="0">
                <anchor moveWithCells="1">
                  <from>
                    <xdr:col>7</xdr:col>
                    <xdr:colOff>103414</xdr:colOff>
                    <xdr:row>117</xdr:row>
                    <xdr:rowOff>125186</xdr:rowOff>
                  </from>
                  <to>
                    <xdr:col>9</xdr:col>
                    <xdr:colOff>76200</xdr:colOff>
                    <xdr:row>118</xdr:row>
                    <xdr:rowOff>255814</xdr:rowOff>
                  </to>
                </anchor>
              </controlPr>
            </control>
          </mc:Choice>
        </mc:AlternateContent>
        <mc:AlternateContent xmlns:mc="http://schemas.openxmlformats.org/markup-compatibility/2006">
          <mc:Choice Requires="x14">
            <control shapeId="9494" r:id="rId55" name="Option Button 278">
              <controlPr defaultSize="0" autoFill="0" autoLine="0" autoPict="0">
                <anchor moveWithCells="1">
                  <from>
                    <xdr:col>8</xdr:col>
                    <xdr:colOff>201386</xdr:colOff>
                    <xdr:row>117</xdr:row>
                    <xdr:rowOff>125186</xdr:rowOff>
                  </from>
                  <to>
                    <xdr:col>10</xdr:col>
                    <xdr:colOff>179614</xdr:colOff>
                    <xdr:row>118</xdr:row>
                    <xdr:rowOff>255814</xdr:rowOff>
                  </to>
                </anchor>
              </controlPr>
            </control>
          </mc:Choice>
        </mc:AlternateContent>
        <mc:AlternateContent xmlns:mc="http://schemas.openxmlformats.org/markup-compatibility/2006">
          <mc:Choice Requires="x14">
            <control shapeId="9496" r:id="rId56" name="Option Button 280">
              <controlPr defaultSize="0" autoFill="0" autoLine="0" autoPict="0">
                <anchor moveWithCells="1">
                  <from>
                    <xdr:col>5</xdr:col>
                    <xdr:colOff>190500</xdr:colOff>
                    <xdr:row>125</xdr:row>
                    <xdr:rowOff>103414</xdr:rowOff>
                  </from>
                  <to>
                    <xdr:col>7</xdr:col>
                    <xdr:colOff>163286</xdr:colOff>
                    <xdr:row>126</xdr:row>
                    <xdr:rowOff>293914</xdr:rowOff>
                  </to>
                </anchor>
              </controlPr>
            </control>
          </mc:Choice>
        </mc:AlternateContent>
        <mc:AlternateContent xmlns:mc="http://schemas.openxmlformats.org/markup-compatibility/2006">
          <mc:Choice Requires="x14">
            <control shapeId="9497" r:id="rId57" name="Option Button 281">
              <controlPr defaultSize="0" autoFill="0" autoLine="0" autoPict="0">
                <anchor moveWithCells="1">
                  <from>
                    <xdr:col>7</xdr:col>
                    <xdr:colOff>103414</xdr:colOff>
                    <xdr:row>125</xdr:row>
                    <xdr:rowOff>103414</xdr:rowOff>
                  </from>
                  <to>
                    <xdr:col>9</xdr:col>
                    <xdr:colOff>76200</xdr:colOff>
                    <xdr:row>126</xdr:row>
                    <xdr:rowOff>293914</xdr:rowOff>
                  </to>
                </anchor>
              </controlPr>
            </control>
          </mc:Choice>
        </mc:AlternateContent>
        <mc:AlternateContent xmlns:mc="http://schemas.openxmlformats.org/markup-compatibility/2006">
          <mc:Choice Requires="x14">
            <control shapeId="9498" r:id="rId58" name="Option Button 282">
              <controlPr defaultSize="0" autoFill="0" autoLine="0" autoPict="0">
                <anchor moveWithCells="1">
                  <from>
                    <xdr:col>8</xdr:col>
                    <xdr:colOff>201386</xdr:colOff>
                    <xdr:row>125</xdr:row>
                    <xdr:rowOff>103414</xdr:rowOff>
                  </from>
                  <to>
                    <xdr:col>10</xdr:col>
                    <xdr:colOff>179614</xdr:colOff>
                    <xdr:row>126</xdr:row>
                    <xdr:rowOff>293914</xdr:rowOff>
                  </to>
                </anchor>
              </controlPr>
            </control>
          </mc:Choice>
        </mc:AlternateContent>
        <mc:AlternateContent xmlns:mc="http://schemas.openxmlformats.org/markup-compatibility/2006">
          <mc:Choice Requires="x14">
            <control shapeId="9500" r:id="rId59" name="Group Box 284">
              <controlPr defaultSize="0" autoFill="0" autoPict="0">
                <anchor moveWithCells="1">
                  <from>
                    <xdr:col>5</xdr:col>
                    <xdr:colOff>10886</xdr:colOff>
                    <xdr:row>117</xdr:row>
                    <xdr:rowOff>0</xdr:rowOff>
                  </from>
                  <to>
                    <xdr:col>11</xdr:col>
                    <xdr:colOff>0</xdr:colOff>
                    <xdr:row>118</xdr:row>
                    <xdr:rowOff>304800</xdr:rowOff>
                  </to>
                </anchor>
              </controlPr>
            </control>
          </mc:Choice>
        </mc:AlternateContent>
        <mc:AlternateContent xmlns:mc="http://schemas.openxmlformats.org/markup-compatibility/2006">
          <mc:Choice Requires="x14">
            <control shapeId="9501" r:id="rId60" name="Group Box 285">
              <controlPr defaultSize="0" autoFill="0" autoPict="0">
                <anchor moveWithCells="1">
                  <from>
                    <xdr:col>5</xdr:col>
                    <xdr:colOff>10886</xdr:colOff>
                    <xdr:row>120</xdr:row>
                    <xdr:rowOff>391886</xdr:rowOff>
                  </from>
                  <to>
                    <xdr:col>10</xdr:col>
                    <xdr:colOff>190500</xdr:colOff>
                    <xdr:row>124</xdr:row>
                    <xdr:rowOff>0</xdr:rowOff>
                  </to>
                </anchor>
              </controlPr>
            </control>
          </mc:Choice>
        </mc:AlternateContent>
        <mc:AlternateContent xmlns:mc="http://schemas.openxmlformats.org/markup-compatibility/2006">
          <mc:Choice Requires="x14">
            <control shapeId="9502" r:id="rId61" name="Group Box 286">
              <controlPr defaultSize="0" autoFill="0" autoPict="0">
                <anchor moveWithCells="1">
                  <from>
                    <xdr:col>5</xdr:col>
                    <xdr:colOff>0</xdr:colOff>
                    <xdr:row>125</xdr:row>
                    <xdr:rowOff>27214</xdr:rowOff>
                  </from>
                  <to>
                    <xdr:col>11</xdr:col>
                    <xdr:colOff>10886</xdr:colOff>
                    <xdr:row>126</xdr:row>
                    <xdr:rowOff>342900</xdr:rowOff>
                  </to>
                </anchor>
              </controlPr>
            </control>
          </mc:Choice>
        </mc:AlternateContent>
        <mc:AlternateContent xmlns:mc="http://schemas.openxmlformats.org/markup-compatibility/2006">
          <mc:Choice Requires="x14">
            <control shapeId="9505" r:id="rId62" name="Option Button 289">
              <controlPr defaultSize="0" autoFill="0" autoLine="0" autoPict="0">
                <anchor moveWithCells="1">
                  <from>
                    <xdr:col>5</xdr:col>
                    <xdr:colOff>190500</xdr:colOff>
                    <xdr:row>129</xdr:row>
                    <xdr:rowOff>38100</xdr:rowOff>
                  </from>
                  <to>
                    <xdr:col>7</xdr:col>
                    <xdr:colOff>163286</xdr:colOff>
                    <xdr:row>131</xdr:row>
                    <xdr:rowOff>38100</xdr:rowOff>
                  </to>
                </anchor>
              </controlPr>
            </control>
          </mc:Choice>
        </mc:AlternateContent>
        <mc:AlternateContent xmlns:mc="http://schemas.openxmlformats.org/markup-compatibility/2006">
          <mc:Choice Requires="x14">
            <control shapeId="9506" r:id="rId63" name="Option Button 290">
              <controlPr defaultSize="0" autoFill="0" autoLine="0" autoPict="0">
                <anchor moveWithCells="1">
                  <from>
                    <xdr:col>7</xdr:col>
                    <xdr:colOff>103414</xdr:colOff>
                    <xdr:row>129</xdr:row>
                    <xdr:rowOff>38100</xdr:rowOff>
                  </from>
                  <to>
                    <xdr:col>9</xdr:col>
                    <xdr:colOff>76200</xdr:colOff>
                    <xdr:row>131</xdr:row>
                    <xdr:rowOff>38100</xdr:rowOff>
                  </to>
                </anchor>
              </controlPr>
            </control>
          </mc:Choice>
        </mc:AlternateContent>
        <mc:AlternateContent xmlns:mc="http://schemas.openxmlformats.org/markup-compatibility/2006">
          <mc:Choice Requires="x14">
            <control shapeId="9509" r:id="rId64" name="Option Button 293">
              <controlPr defaultSize="0" autoFill="0" autoLine="0" autoPict="0">
                <anchor moveWithCells="1">
                  <from>
                    <xdr:col>5</xdr:col>
                    <xdr:colOff>190500</xdr:colOff>
                    <xdr:row>133</xdr:row>
                    <xdr:rowOff>114300</xdr:rowOff>
                  </from>
                  <to>
                    <xdr:col>7</xdr:col>
                    <xdr:colOff>163286</xdr:colOff>
                    <xdr:row>136</xdr:row>
                    <xdr:rowOff>0</xdr:rowOff>
                  </to>
                </anchor>
              </controlPr>
            </control>
          </mc:Choice>
        </mc:AlternateContent>
        <mc:AlternateContent xmlns:mc="http://schemas.openxmlformats.org/markup-compatibility/2006">
          <mc:Choice Requires="x14">
            <control shapeId="9510" r:id="rId65" name="Option Button 294">
              <controlPr defaultSize="0" autoFill="0" autoLine="0" autoPict="0">
                <anchor moveWithCells="1">
                  <from>
                    <xdr:col>7</xdr:col>
                    <xdr:colOff>103414</xdr:colOff>
                    <xdr:row>133</xdr:row>
                    <xdr:rowOff>114300</xdr:rowOff>
                  </from>
                  <to>
                    <xdr:col>9</xdr:col>
                    <xdr:colOff>76200</xdr:colOff>
                    <xdr:row>136</xdr:row>
                    <xdr:rowOff>0</xdr:rowOff>
                  </to>
                </anchor>
              </controlPr>
            </control>
          </mc:Choice>
        </mc:AlternateContent>
        <mc:AlternateContent xmlns:mc="http://schemas.openxmlformats.org/markup-compatibility/2006">
          <mc:Choice Requires="x14">
            <control shapeId="9511" r:id="rId66" name="Group Box 295">
              <controlPr defaultSize="0" autoFill="0" autoPict="0">
                <anchor moveWithCells="1">
                  <from>
                    <xdr:col>5</xdr:col>
                    <xdr:colOff>0</xdr:colOff>
                    <xdr:row>129</xdr:row>
                    <xdr:rowOff>10886</xdr:rowOff>
                  </from>
                  <to>
                    <xdr:col>10</xdr:col>
                    <xdr:colOff>217714</xdr:colOff>
                    <xdr:row>132</xdr:row>
                    <xdr:rowOff>10886</xdr:rowOff>
                  </to>
                </anchor>
              </controlPr>
            </control>
          </mc:Choice>
        </mc:AlternateContent>
        <mc:AlternateContent xmlns:mc="http://schemas.openxmlformats.org/markup-compatibility/2006">
          <mc:Choice Requires="x14">
            <control shapeId="9512" r:id="rId67" name="Group Box 296">
              <controlPr defaultSize="0" autoFill="0" autoPict="0">
                <anchor moveWithCells="1">
                  <from>
                    <xdr:col>5</xdr:col>
                    <xdr:colOff>27214</xdr:colOff>
                    <xdr:row>132</xdr:row>
                    <xdr:rowOff>201386</xdr:rowOff>
                  </from>
                  <to>
                    <xdr:col>11</xdr:col>
                    <xdr:colOff>0</xdr:colOff>
                    <xdr:row>136</xdr:row>
                    <xdr:rowOff>38100</xdr:rowOff>
                  </to>
                </anchor>
              </controlPr>
            </control>
          </mc:Choice>
        </mc:AlternateContent>
        <mc:AlternateContent xmlns:mc="http://schemas.openxmlformats.org/markup-compatibility/2006">
          <mc:Choice Requires="x14">
            <control shapeId="9513" r:id="rId68" name="Option Button 297">
              <controlPr defaultSize="0" autoFill="0" autoLine="0" autoPict="0">
                <anchor moveWithCells="1">
                  <from>
                    <xdr:col>5</xdr:col>
                    <xdr:colOff>190500</xdr:colOff>
                    <xdr:row>143</xdr:row>
                    <xdr:rowOff>114300</xdr:rowOff>
                  </from>
                  <to>
                    <xdr:col>7</xdr:col>
                    <xdr:colOff>163286</xdr:colOff>
                    <xdr:row>144</xdr:row>
                    <xdr:rowOff>293914</xdr:rowOff>
                  </to>
                </anchor>
              </controlPr>
            </control>
          </mc:Choice>
        </mc:AlternateContent>
        <mc:AlternateContent xmlns:mc="http://schemas.openxmlformats.org/markup-compatibility/2006">
          <mc:Choice Requires="x14">
            <control shapeId="9514" r:id="rId69" name="Option Button 298">
              <controlPr defaultSize="0" autoFill="0" autoLine="0" autoPict="0">
                <anchor moveWithCells="1">
                  <from>
                    <xdr:col>7</xdr:col>
                    <xdr:colOff>103414</xdr:colOff>
                    <xdr:row>143</xdr:row>
                    <xdr:rowOff>114300</xdr:rowOff>
                  </from>
                  <to>
                    <xdr:col>9</xdr:col>
                    <xdr:colOff>76200</xdr:colOff>
                    <xdr:row>144</xdr:row>
                    <xdr:rowOff>293914</xdr:rowOff>
                  </to>
                </anchor>
              </controlPr>
            </control>
          </mc:Choice>
        </mc:AlternateContent>
        <mc:AlternateContent xmlns:mc="http://schemas.openxmlformats.org/markup-compatibility/2006">
          <mc:Choice Requires="x14">
            <control shapeId="9515" r:id="rId70" name="Option Button 299">
              <controlPr defaultSize="0" autoFill="0" autoLine="0" autoPict="0">
                <anchor moveWithCells="1">
                  <from>
                    <xdr:col>8</xdr:col>
                    <xdr:colOff>201386</xdr:colOff>
                    <xdr:row>143</xdr:row>
                    <xdr:rowOff>114300</xdr:rowOff>
                  </from>
                  <to>
                    <xdr:col>10</xdr:col>
                    <xdr:colOff>179614</xdr:colOff>
                    <xdr:row>144</xdr:row>
                    <xdr:rowOff>293914</xdr:rowOff>
                  </to>
                </anchor>
              </controlPr>
            </control>
          </mc:Choice>
        </mc:AlternateContent>
        <mc:AlternateContent xmlns:mc="http://schemas.openxmlformats.org/markup-compatibility/2006">
          <mc:Choice Requires="x14">
            <control shapeId="9516" r:id="rId71" name="Option Button 300">
              <controlPr defaultSize="0" autoFill="0" autoLine="0" autoPict="0">
                <anchor moveWithCells="1">
                  <from>
                    <xdr:col>5</xdr:col>
                    <xdr:colOff>190500</xdr:colOff>
                    <xdr:row>139</xdr:row>
                    <xdr:rowOff>114300</xdr:rowOff>
                  </from>
                  <to>
                    <xdr:col>7</xdr:col>
                    <xdr:colOff>163286</xdr:colOff>
                    <xdr:row>141</xdr:row>
                    <xdr:rowOff>10886</xdr:rowOff>
                  </to>
                </anchor>
              </controlPr>
            </control>
          </mc:Choice>
        </mc:AlternateContent>
        <mc:AlternateContent xmlns:mc="http://schemas.openxmlformats.org/markup-compatibility/2006">
          <mc:Choice Requires="x14">
            <control shapeId="9517" r:id="rId72" name="Option Button 301">
              <controlPr defaultSize="0" autoFill="0" autoLine="0" autoPict="0">
                <anchor moveWithCells="1">
                  <from>
                    <xdr:col>7</xdr:col>
                    <xdr:colOff>103414</xdr:colOff>
                    <xdr:row>139</xdr:row>
                    <xdr:rowOff>114300</xdr:rowOff>
                  </from>
                  <to>
                    <xdr:col>9</xdr:col>
                    <xdr:colOff>76200</xdr:colOff>
                    <xdr:row>141</xdr:row>
                    <xdr:rowOff>10886</xdr:rowOff>
                  </to>
                </anchor>
              </controlPr>
            </control>
          </mc:Choice>
        </mc:AlternateContent>
        <mc:AlternateContent xmlns:mc="http://schemas.openxmlformats.org/markup-compatibility/2006">
          <mc:Choice Requires="x14">
            <control shapeId="9518" r:id="rId73" name="Option Button 302">
              <controlPr defaultSize="0" autoFill="0" autoLine="0" autoPict="0">
                <anchor moveWithCells="1">
                  <from>
                    <xdr:col>8</xdr:col>
                    <xdr:colOff>201386</xdr:colOff>
                    <xdr:row>139</xdr:row>
                    <xdr:rowOff>114300</xdr:rowOff>
                  </from>
                  <to>
                    <xdr:col>10</xdr:col>
                    <xdr:colOff>179614</xdr:colOff>
                    <xdr:row>141</xdr:row>
                    <xdr:rowOff>10886</xdr:rowOff>
                  </to>
                </anchor>
              </controlPr>
            </control>
          </mc:Choice>
        </mc:AlternateContent>
        <mc:AlternateContent xmlns:mc="http://schemas.openxmlformats.org/markup-compatibility/2006">
          <mc:Choice Requires="x14">
            <control shapeId="9519" r:id="rId74" name="Option Button 303">
              <controlPr defaultSize="0" autoFill="0" autoLine="0" autoPict="0">
                <anchor moveWithCells="1">
                  <from>
                    <xdr:col>5</xdr:col>
                    <xdr:colOff>190500</xdr:colOff>
                    <xdr:row>147</xdr:row>
                    <xdr:rowOff>266700</xdr:rowOff>
                  </from>
                  <to>
                    <xdr:col>7</xdr:col>
                    <xdr:colOff>163286</xdr:colOff>
                    <xdr:row>148</xdr:row>
                    <xdr:rowOff>293914</xdr:rowOff>
                  </to>
                </anchor>
              </controlPr>
            </control>
          </mc:Choice>
        </mc:AlternateContent>
        <mc:AlternateContent xmlns:mc="http://schemas.openxmlformats.org/markup-compatibility/2006">
          <mc:Choice Requires="x14">
            <control shapeId="9520" r:id="rId75" name="Option Button 304">
              <controlPr defaultSize="0" autoFill="0" autoLine="0" autoPict="0">
                <anchor moveWithCells="1">
                  <from>
                    <xdr:col>7</xdr:col>
                    <xdr:colOff>103414</xdr:colOff>
                    <xdr:row>147</xdr:row>
                    <xdr:rowOff>266700</xdr:rowOff>
                  </from>
                  <to>
                    <xdr:col>9</xdr:col>
                    <xdr:colOff>76200</xdr:colOff>
                    <xdr:row>148</xdr:row>
                    <xdr:rowOff>293914</xdr:rowOff>
                  </to>
                </anchor>
              </controlPr>
            </control>
          </mc:Choice>
        </mc:AlternateContent>
        <mc:AlternateContent xmlns:mc="http://schemas.openxmlformats.org/markup-compatibility/2006">
          <mc:Choice Requires="x14">
            <control shapeId="9521" r:id="rId76" name="Option Button 305">
              <controlPr defaultSize="0" autoFill="0" autoLine="0" autoPict="0">
                <anchor moveWithCells="1">
                  <from>
                    <xdr:col>8</xdr:col>
                    <xdr:colOff>201386</xdr:colOff>
                    <xdr:row>147</xdr:row>
                    <xdr:rowOff>266700</xdr:rowOff>
                  </from>
                  <to>
                    <xdr:col>10</xdr:col>
                    <xdr:colOff>179614</xdr:colOff>
                    <xdr:row>148</xdr:row>
                    <xdr:rowOff>293914</xdr:rowOff>
                  </to>
                </anchor>
              </controlPr>
            </control>
          </mc:Choice>
        </mc:AlternateContent>
        <mc:AlternateContent xmlns:mc="http://schemas.openxmlformats.org/markup-compatibility/2006">
          <mc:Choice Requires="x14">
            <control shapeId="9522" r:id="rId77" name="Group Box 306">
              <controlPr defaultSize="0" autoFill="0" autoPict="0">
                <anchor moveWithCells="1">
                  <from>
                    <xdr:col>5</xdr:col>
                    <xdr:colOff>0</xdr:colOff>
                    <xdr:row>139</xdr:row>
                    <xdr:rowOff>0</xdr:rowOff>
                  </from>
                  <to>
                    <xdr:col>10</xdr:col>
                    <xdr:colOff>201386</xdr:colOff>
                    <xdr:row>141</xdr:row>
                    <xdr:rowOff>65314</xdr:rowOff>
                  </to>
                </anchor>
              </controlPr>
            </control>
          </mc:Choice>
        </mc:AlternateContent>
        <mc:AlternateContent xmlns:mc="http://schemas.openxmlformats.org/markup-compatibility/2006">
          <mc:Choice Requires="x14">
            <control shapeId="9523" r:id="rId78" name="Group Box 307">
              <controlPr defaultSize="0" autoFill="0" autoPict="0">
                <anchor moveWithCells="1">
                  <from>
                    <xdr:col>5</xdr:col>
                    <xdr:colOff>10886</xdr:colOff>
                    <xdr:row>143</xdr:row>
                    <xdr:rowOff>0</xdr:rowOff>
                  </from>
                  <to>
                    <xdr:col>10</xdr:col>
                    <xdr:colOff>217714</xdr:colOff>
                    <xdr:row>144</xdr:row>
                    <xdr:rowOff>408214</xdr:rowOff>
                  </to>
                </anchor>
              </controlPr>
            </control>
          </mc:Choice>
        </mc:AlternateContent>
        <mc:AlternateContent xmlns:mc="http://schemas.openxmlformats.org/markup-compatibility/2006">
          <mc:Choice Requires="x14">
            <control shapeId="9524" r:id="rId79" name="Group Box 308">
              <controlPr defaultSize="0" autoFill="0" autoPict="0">
                <anchor moveWithCells="1">
                  <from>
                    <xdr:col>5</xdr:col>
                    <xdr:colOff>0</xdr:colOff>
                    <xdr:row>147</xdr:row>
                    <xdr:rowOff>10886</xdr:rowOff>
                  </from>
                  <to>
                    <xdr:col>10</xdr:col>
                    <xdr:colOff>201386</xdr:colOff>
                    <xdr:row>148</xdr:row>
                    <xdr:rowOff>419100</xdr:rowOff>
                  </to>
                </anchor>
              </controlPr>
            </control>
          </mc:Choice>
        </mc:AlternateContent>
        <mc:AlternateContent xmlns:mc="http://schemas.openxmlformats.org/markup-compatibility/2006">
          <mc:Choice Requires="x14">
            <control shapeId="9525" r:id="rId80" name="Option Button 309">
              <controlPr defaultSize="0" autoFill="0" autoLine="0" autoPict="0">
                <anchor moveWithCells="1">
                  <from>
                    <xdr:col>5</xdr:col>
                    <xdr:colOff>190500</xdr:colOff>
                    <xdr:row>151</xdr:row>
                    <xdr:rowOff>114300</xdr:rowOff>
                  </from>
                  <to>
                    <xdr:col>7</xdr:col>
                    <xdr:colOff>163286</xdr:colOff>
                    <xdr:row>152</xdr:row>
                    <xdr:rowOff>293914</xdr:rowOff>
                  </to>
                </anchor>
              </controlPr>
            </control>
          </mc:Choice>
        </mc:AlternateContent>
        <mc:AlternateContent xmlns:mc="http://schemas.openxmlformats.org/markup-compatibility/2006">
          <mc:Choice Requires="x14">
            <control shapeId="9526" r:id="rId81" name="Option Button 310">
              <controlPr defaultSize="0" autoFill="0" autoLine="0" autoPict="0">
                <anchor moveWithCells="1">
                  <from>
                    <xdr:col>7</xdr:col>
                    <xdr:colOff>103414</xdr:colOff>
                    <xdr:row>151</xdr:row>
                    <xdr:rowOff>114300</xdr:rowOff>
                  </from>
                  <to>
                    <xdr:col>9</xdr:col>
                    <xdr:colOff>76200</xdr:colOff>
                    <xdr:row>152</xdr:row>
                    <xdr:rowOff>293914</xdr:rowOff>
                  </to>
                </anchor>
              </controlPr>
            </control>
          </mc:Choice>
        </mc:AlternateContent>
        <mc:AlternateContent xmlns:mc="http://schemas.openxmlformats.org/markup-compatibility/2006">
          <mc:Choice Requires="x14">
            <control shapeId="9527" r:id="rId82" name="Option Button 311">
              <controlPr defaultSize="0" autoFill="0" autoLine="0" autoPict="0">
                <anchor moveWithCells="1">
                  <from>
                    <xdr:col>8</xdr:col>
                    <xdr:colOff>201386</xdr:colOff>
                    <xdr:row>151</xdr:row>
                    <xdr:rowOff>114300</xdr:rowOff>
                  </from>
                  <to>
                    <xdr:col>10</xdr:col>
                    <xdr:colOff>179614</xdr:colOff>
                    <xdr:row>152</xdr:row>
                    <xdr:rowOff>293914</xdr:rowOff>
                  </to>
                </anchor>
              </controlPr>
            </control>
          </mc:Choice>
        </mc:AlternateContent>
        <mc:AlternateContent xmlns:mc="http://schemas.openxmlformats.org/markup-compatibility/2006">
          <mc:Choice Requires="x14">
            <control shapeId="9528" r:id="rId83" name="Option Button 312">
              <controlPr defaultSize="0" autoFill="0" autoLine="0" autoPict="0">
                <anchor moveWithCells="1">
                  <from>
                    <xdr:col>5</xdr:col>
                    <xdr:colOff>190500</xdr:colOff>
                    <xdr:row>155</xdr:row>
                    <xdr:rowOff>163286</xdr:rowOff>
                  </from>
                  <to>
                    <xdr:col>7</xdr:col>
                    <xdr:colOff>163286</xdr:colOff>
                    <xdr:row>156</xdr:row>
                    <xdr:rowOff>293914</xdr:rowOff>
                  </to>
                </anchor>
              </controlPr>
            </control>
          </mc:Choice>
        </mc:AlternateContent>
        <mc:AlternateContent xmlns:mc="http://schemas.openxmlformats.org/markup-compatibility/2006">
          <mc:Choice Requires="x14">
            <control shapeId="9529" r:id="rId84" name="Option Button 313">
              <controlPr defaultSize="0" autoFill="0" autoLine="0" autoPict="0">
                <anchor moveWithCells="1">
                  <from>
                    <xdr:col>7</xdr:col>
                    <xdr:colOff>103414</xdr:colOff>
                    <xdr:row>155</xdr:row>
                    <xdr:rowOff>163286</xdr:rowOff>
                  </from>
                  <to>
                    <xdr:col>9</xdr:col>
                    <xdr:colOff>76200</xdr:colOff>
                    <xdr:row>156</xdr:row>
                    <xdr:rowOff>293914</xdr:rowOff>
                  </to>
                </anchor>
              </controlPr>
            </control>
          </mc:Choice>
        </mc:AlternateContent>
        <mc:AlternateContent xmlns:mc="http://schemas.openxmlformats.org/markup-compatibility/2006">
          <mc:Choice Requires="x14">
            <control shapeId="9530" r:id="rId85" name="Option Button 314">
              <controlPr defaultSize="0" autoFill="0" autoLine="0" autoPict="0">
                <anchor moveWithCells="1">
                  <from>
                    <xdr:col>8</xdr:col>
                    <xdr:colOff>201386</xdr:colOff>
                    <xdr:row>155</xdr:row>
                    <xdr:rowOff>163286</xdr:rowOff>
                  </from>
                  <to>
                    <xdr:col>10</xdr:col>
                    <xdr:colOff>179614</xdr:colOff>
                    <xdr:row>156</xdr:row>
                    <xdr:rowOff>293914</xdr:rowOff>
                  </to>
                </anchor>
              </controlPr>
            </control>
          </mc:Choice>
        </mc:AlternateContent>
        <mc:AlternateContent xmlns:mc="http://schemas.openxmlformats.org/markup-compatibility/2006">
          <mc:Choice Requires="x14">
            <control shapeId="9531" r:id="rId86" name="Option Button 315">
              <controlPr defaultSize="0" autoFill="0" autoLine="0" autoPict="0">
                <anchor moveWithCells="1">
                  <from>
                    <xdr:col>5</xdr:col>
                    <xdr:colOff>190500</xdr:colOff>
                    <xdr:row>159</xdr:row>
                    <xdr:rowOff>114300</xdr:rowOff>
                  </from>
                  <to>
                    <xdr:col>7</xdr:col>
                    <xdr:colOff>163286</xdr:colOff>
                    <xdr:row>160</xdr:row>
                    <xdr:rowOff>255814</xdr:rowOff>
                  </to>
                </anchor>
              </controlPr>
            </control>
          </mc:Choice>
        </mc:AlternateContent>
        <mc:AlternateContent xmlns:mc="http://schemas.openxmlformats.org/markup-compatibility/2006">
          <mc:Choice Requires="x14">
            <control shapeId="9532" r:id="rId87" name="Option Button 316">
              <controlPr defaultSize="0" autoFill="0" autoLine="0" autoPict="0">
                <anchor moveWithCells="1">
                  <from>
                    <xdr:col>7</xdr:col>
                    <xdr:colOff>103414</xdr:colOff>
                    <xdr:row>159</xdr:row>
                    <xdr:rowOff>114300</xdr:rowOff>
                  </from>
                  <to>
                    <xdr:col>9</xdr:col>
                    <xdr:colOff>76200</xdr:colOff>
                    <xdr:row>160</xdr:row>
                    <xdr:rowOff>255814</xdr:rowOff>
                  </to>
                </anchor>
              </controlPr>
            </control>
          </mc:Choice>
        </mc:AlternateContent>
        <mc:AlternateContent xmlns:mc="http://schemas.openxmlformats.org/markup-compatibility/2006">
          <mc:Choice Requires="x14">
            <control shapeId="9533" r:id="rId88" name="Option Button 317">
              <controlPr defaultSize="0" autoFill="0" autoLine="0" autoPict="0">
                <anchor moveWithCells="1">
                  <from>
                    <xdr:col>8</xdr:col>
                    <xdr:colOff>201386</xdr:colOff>
                    <xdr:row>159</xdr:row>
                    <xdr:rowOff>114300</xdr:rowOff>
                  </from>
                  <to>
                    <xdr:col>10</xdr:col>
                    <xdr:colOff>179614</xdr:colOff>
                    <xdr:row>160</xdr:row>
                    <xdr:rowOff>255814</xdr:rowOff>
                  </to>
                </anchor>
              </controlPr>
            </control>
          </mc:Choice>
        </mc:AlternateContent>
        <mc:AlternateContent xmlns:mc="http://schemas.openxmlformats.org/markup-compatibility/2006">
          <mc:Choice Requires="x14">
            <control shapeId="9534" r:id="rId89" name="Option Button 318">
              <controlPr defaultSize="0" autoFill="0" autoLine="0" autoPict="0">
                <anchor moveWithCells="1">
                  <from>
                    <xdr:col>5</xdr:col>
                    <xdr:colOff>190500</xdr:colOff>
                    <xdr:row>161</xdr:row>
                    <xdr:rowOff>125186</xdr:rowOff>
                  </from>
                  <to>
                    <xdr:col>7</xdr:col>
                    <xdr:colOff>163286</xdr:colOff>
                    <xdr:row>163</xdr:row>
                    <xdr:rowOff>76200</xdr:rowOff>
                  </to>
                </anchor>
              </controlPr>
            </control>
          </mc:Choice>
        </mc:AlternateContent>
        <mc:AlternateContent xmlns:mc="http://schemas.openxmlformats.org/markup-compatibility/2006">
          <mc:Choice Requires="x14">
            <control shapeId="9535" r:id="rId90" name="Option Button 319">
              <controlPr defaultSize="0" autoFill="0" autoLine="0" autoPict="0">
                <anchor moveWithCells="1">
                  <from>
                    <xdr:col>7</xdr:col>
                    <xdr:colOff>103414</xdr:colOff>
                    <xdr:row>161</xdr:row>
                    <xdr:rowOff>125186</xdr:rowOff>
                  </from>
                  <to>
                    <xdr:col>9</xdr:col>
                    <xdr:colOff>76200</xdr:colOff>
                    <xdr:row>163</xdr:row>
                    <xdr:rowOff>76200</xdr:rowOff>
                  </to>
                </anchor>
              </controlPr>
            </control>
          </mc:Choice>
        </mc:AlternateContent>
        <mc:AlternateContent xmlns:mc="http://schemas.openxmlformats.org/markup-compatibility/2006">
          <mc:Choice Requires="x14">
            <control shapeId="9536" r:id="rId91" name="Option Button 320">
              <controlPr defaultSize="0" autoFill="0" autoLine="0" autoPict="0">
                <anchor moveWithCells="1">
                  <from>
                    <xdr:col>5</xdr:col>
                    <xdr:colOff>190500</xdr:colOff>
                    <xdr:row>163</xdr:row>
                    <xdr:rowOff>152400</xdr:rowOff>
                  </from>
                  <to>
                    <xdr:col>7</xdr:col>
                    <xdr:colOff>163286</xdr:colOff>
                    <xdr:row>165</xdr:row>
                    <xdr:rowOff>76200</xdr:rowOff>
                  </to>
                </anchor>
              </controlPr>
            </control>
          </mc:Choice>
        </mc:AlternateContent>
        <mc:AlternateContent xmlns:mc="http://schemas.openxmlformats.org/markup-compatibility/2006">
          <mc:Choice Requires="x14">
            <control shapeId="9537" r:id="rId92" name="Option Button 321">
              <controlPr defaultSize="0" autoFill="0" autoLine="0" autoPict="0">
                <anchor moveWithCells="1">
                  <from>
                    <xdr:col>7</xdr:col>
                    <xdr:colOff>103414</xdr:colOff>
                    <xdr:row>163</xdr:row>
                    <xdr:rowOff>152400</xdr:rowOff>
                  </from>
                  <to>
                    <xdr:col>9</xdr:col>
                    <xdr:colOff>76200</xdr:colOff>
                    <xdr:row>165</xdr:row>
                    <xdr:rowOff>76200</xdr:rowOff>
                  </to>
                </anchor>
              </controlPr>
            </control>
          </mc:Choice>
        </mc:AlternateContent>
        <mc:AlternateContent xmlns:mc="http://schemas.openxmlformats.org/markup-compatibility/2006">
          <mc:Choice Requires="x14">
            <control shapeId="9538" r:id="rId93" name="Option Button 322">
              <controlPr defaultSize="0" autoFill="0" autoLine="0" autoPict="0">
                <anchor moveWithCells="1">
                  <from>
                    <xdr:col>5</xdr:col>
                    <xdr:colOff>190500</xdr:colOff>
                    <xdr:row>165</xdr:row>
                    <xdr:rowOff>179614</xdr:rowOff>
                  </from>
                  <to>
                    <xdr:col>7</xdr:col>
                    <xdr:colOff>163286</xdr:colOff>
                    <xdr:row>167</xdr:row>
                    <xdr:rowOff>76200</xdr:rowOff>
                  </to>
                </anchor>
              </controlPr>
            </control>
          </mc:Choice>
        </mc:AlternateContent>
        <mc:AlternateContent xmlns:mc="http://schemas.openxmlformats.org/markup-compatibility/2006">
          <mc:Choice Requires="x14">
            <control shapeId="9539" r:id="rId94" name="Option Button 323">
              <controlPr defaultSize="0" autoFill="0" autoLine="0" autoPict="0">
                <anchor moveWithCells="1">
                  <from>
                    <xdr:col>7</xdr:col>
                    <xdr:colOff>103414</xdr:colOff>
                    <xdr:row>165</xdr:row>
                    <xdr:rowOff>179614</xdr:rowOff>
                  </from>
                  <to>
                    <xdr:col>9</xdr:col>
                    <xdr:colOff>76200</xdr:colOff>
                    <xdr:row>167</xdr:row>
                    <xdr:rowOff>76200</xdr:rowOff>
                  </to>
                </anchor>
              </controlPr>
            </control>
          </mc:Choice>
        </mc:AlternateContent>
        <mc:AlternateContent xmlns:mc="http://schemas.openxmlformats.org/markup-compatibility/2006">
          <mc:Choice Requires="x14">
            <control shapeId="9542" r:id="rId95" name="Option Button 326">
              <controlPr defaultSize="0" autoFill="0" autoLine="0" autoPict="0">
                <anchor moveWithCells="1">
                  <from>
                    <xdr:col>5</xdr:col>
                    <xdr:colOff>190500</xdr:colOff>
                    <xdr:row>167</xdr:row>
                    <xdr:rowOff>179614</xdr:rowOff>
                  </from>
                  <to>
                    <xdr:col>7</xdr:col>
                    <xdr:colOff>163286</xdr:colOff>
                    <xdr:row>168</xdr:row>
                    <xdr:rowOff>293914</xdr:rowOff>
                  </to>
                </anchor>
              </controlPr>
            </control>
          </mc:Choice>
        </mc:AlternateContent>
        <mc:AlternateContent xmlns:mc="http://schemas.openxmlformats.org/markup-compatibility/2006">
          <mc:Choice Requires="x14">
            <control shapeId="9543" r:id="rId96" name="Option Button 327">
              <controlPr defaultSize="0" autoFill="0" autoLine="0" autoPict="0">
                <anchor moveWithCells="1">
                  <from>
                    <xdr:col>7</xdr:col>
                    <xdr:colOff>103414</xdr:colOff>
                    <xdr:row>167</xdr:row>
                    <xdr:rowOff>179614</xdr:rowOff>
                  </from>
                  <to>
                    <xdr:col>9</xdr:col>
                    <xdr:colOff>76200</xdr:colOff>
                    <xdr:row>168</xdr:row>
                    <xdr:rowOff>293914</xdr:rowOff>
                  </to>
                </anchor>
              </controlPr>
            </control>
          </mc:Choice>
        </mc:AlternateContent>
        <mc:AlternateContent xmlns:mc="http://schemas.openxmlformats.org/markup-compatibility/2006">
          <mc:Choice Requires="x14">
            <control shapeId="9544" r:id="rId97" name="Group Box 328">
              <controlPr defaultSize="0" autoFill="0" autoPict="0">
                <anchor moveWithCells="1">
                  <from>
                    <xdr:col>5</xdr:col>
                    <xdr:colOff>10886</xdr:colOff>
                    <xdr:row>151</xdr:row>
                    <xdr:rowOff>10886</xdr:rowOff>
                  </from>
                  <to>
                    <xdr:col>10</xdr:col>
                    <xdr:colOff>217714</xdr:colOff>
                    <xdr:row>152</xdr:row>
                    <xdr:rowOff>419100</xdr:rowOff>
                  </to>
                </anchor>
              </controlPr>
            </control>
          </mc:Choice>
        </mc:AlternateContent>
        <mc:AlternateContent xmlns:mc="http://schemas.openxmlformats.org/markup-compatibility/2006">
          <mc:Choice Requires="x14">
            <control shapeId="9545" r:id="rId98" name="Group Box 329">
              <controlPr defaultSize="0" autoFill="0" autoPict="0">
                <anchor moveWithCells="1">
                  <from>
                    <xdr:col>5</xdr:col>
                    <xdr:colOff>27214</xdr:colOff>
                    <xdr:row>155</xdr:row>
                    <xdr:rowOff>0</xdr:rowOff>
                  </from>
                  <to>
                    <xdr:col>11</xdr:col>
                    <xdr:colOff>0</xdr:colOff>
                    <xdr:row>156</xdr:row>
                    <xdr:rowOff>457200</xdr:rowOff>
                  </to>
                </anchor>
              </controlPr>
            </control>
          </mc:Choice>
        </mc:AlternateContent>
        <mc:AlternateContent xmlns:mc="http://schemas.openxmlformats.org/markup-compatibility/2006">
          <mc:Choice Requires="x14">
            <control shapeId="9546" r:id="rId99" name="Group Box 330">
              <controlPr defaultSize="0" autoFill="0" autoPict="0">
                <anchor moveWithCells="1">
                  <from>
                    <xdr:col>5</xdr:col>
                    <xdr:colOff>27214</xdr:colOff>
                    <xdr:row>159</xdr:row>
                    <xdr:rowOff>10886</xdr:rowOff>
                  </from>
                  <to>
                    <xdr:col>11</xdr:col>
                    <xdr:colOff>0</xdr:colOff>
                    <xdr:row>160</xdr:row>
                    <xdr:rowOff>370114</xdr:rowOff>
                  </to>
                </anchor>
              </controlPr>
            </control>
          </mc:Choice>
        </mc:AlternateContent>
        <mc:AlternateContent xmlns:mc="http://schemas.openxmlformats.org/markup-compatibility/2006">
          <mc:Choice Requires="x14">
            <control shapeId="9548" r:id="rId100" name="Group Box 332">
              <controlPr defaultSize="0" autoFill="0" autoPict="0">
                <anchor moveWithCells="1">
                  <from>
                    <xdr:col>5</xdr:col>
                    <xdr:colOff>0</xdr:colOff>
                    <xdr:row>163</xdr:row>
                    <xdr:rowOff>114300</xdr:rowOff>
                  </from>
                  <to>
                    <xdr:col>10</xdr:col>
                    <xdr:colOff>201386</xdr:colOff>
                    <xdr:row>165</xdr:row>
                    <xdr:rowOff>87086</xdr:rowOff>
                  </to>
                </anchor>
              </controlPr>
            </control>
          </mc:Choice>
        </mc:AlternateContent>
        <mc:AlternateContent xmlns:mc="http://schemas.openxmlformats.org/markup-compatibility/2006">
          <mc:Choice Requires="x14">
            <control shapeId="9549" r:id="rId101" name="Group Box 333">
              <controlPr defaultSize="0" autoFill="0" autoPict="0">
                <anchor moveWithCells="1">
                  <from>
                    <xdr:col>5</xdr:col>
                    <xdr:colOff>0</xdr:colOff>
                    <xdr:row>165</xdr:row>
                    <xdr:rowOff>87086</xdr:rowOff>
                  </from>
                  <to>
                    <xdr:col>10</xdr:col>
                    <xdr:colOff>201386</xdr:colOff>
                    <xdr:row>167</xdr:row>
                    <xdr:rowOff>76200</xdr:rowOff>
                  </to>
                </anchor>
              </controlPr>
            </control>
          </mc:Choice>
        </mc:AlternateContent>
        <mc:AlternateContent xmlns:mc="http://schemas.openxmlformats.org/markup-compatibility/2006">
          <mc:Choice Requires="x14">
            <control shapeId="9550" r:id="rId102" name="Group Box 334">
              <controlPr defaultSize="0" autoFill="0" autoPict="0">
                <anchor moveWithCells="1">
                  <from>
                    <xdr:col>5</xdr:col>
                    <xdr:colOff>0</xdr:colOff>
                    <xdr:row>167</xdr:row>
                    <xdr:rowOff>76200</xdr:rowOff>
                  </from>
                  <to>
                    <xdr:col>10</xdr:col>
                    <xdr:colOff>201386</xdr:colOff>
                    <xdr:row>168</xdr:row>
                    <xdr:rowOff>332014</xdr:rowOff>
                  </to>
                </anchor>
              </controlPr>
            </control>
          </mc:Choice>
        </mc:AlternateContent>
        <mc:AlternateContent xmlns:mc="http://schemas.openxmlformats.org/markup-compatibility/2006">
          <mc:Choice Requires="x14">
            <control shapeId="9551" r:id="rId103" name="Option Button 335">
              <controlPr defaultSize="0" autoFill="0" autoLine="0" autoPict="0">
                <anchor moveWithCells="1">
                  <from>
                    <xdr:col>5</xdr:col>
                    <xdr:colOff>190500</xdr:colOff>
                    <xdr:row>171</xdr:row>
                    <xdr:rowOff>163286</xdr:rowOff>
                  </from>
                  <to>
                    <xdr:col>7</xdr:col>
                    <xdr:colOff>163286</xdr:colOff>
                    <xdr:row>172</xdr:row>
                    <xdr:rowOff>293914</xdr:rowOff>
                  </to>
                </anchor>
              </controlPr>
            </control>
          </mc:Choice>
        </mc:AlternateContent>
        <mc:AlternateContent xmlns:mc="http://schemas.openxmlformats.org/markup-compatibility/2006">
          <mc:Choice Requires="x14">
            <control shapeId="9552" r:id="rId104" name="Option Button 336">
              <controlPr defaultSize="0" autoFill="0" autoLine="0" autoPict="0">
                <anchor moveWithCells="1">
                  <from>
                    <xdr:col>7</xdr:col>
                    <xdr:colOff>103414</xdr:colOff>
                    <xdr:row>171</xdr:row>
                    <xdr:rowOff>163286</xdr:rowOff>
                  </from>
                  <to>
                    <xdr:col>9</xdr:col>
                    <xdr:colOff>76200</xdr:colOff>
                    <xdr:row>172</xdr:row>
                    <xdr:rowOff>293914</xdr:rowOff>
                  </to>
                </anchor>
              </controlPr>
            </control>
          </mc:Choice>
        </mc:AlternateContent>
        <mc:AlternateContent xmlns:mc="http://schemas.openxmlformats.org/markup-compatibility/2006">
          <mc:Choice Requires="x14">
            <control shapeId="9553" r:id="rId105" name="Option Button 337">
              <controlPr defaultSize="0" autoFill="0" autoLine="0" autoPict="0">
                <anchor moveWithCells="1">
                  <from>
                    <xdr:col>8</xdr:col>
                    <xdr:colOff>201386</xdr:colOff>
                    <xdr:row>171</xdr:row>
                    <xdr:rowOff>163286</xdr:rowOff>
                  </from>
                  <to>
                    <xdr:col>10</xdr:col>
                    <xdr:colOff>179614</xdr:colOff>
                    <xdr:row>172</xdr:row>
                    <xdr:rowOff>293914</xdr:rowOff>
                  </to>
                </anchor>
              </controlPr>
            </control>
          </mc:Choice>
        </mc:AlternateContent>
        <mc:AlternateContent xmlns:mc="http://schemas.openxmlformats.org/markup-compatibility/2006">
          <mc:Choice Requires="x14">
            <control shapeId="9554" r:id="rId106" name="Group Box 338">
              <controlPr defaultSize="0" autoFill="0" autoPict="0">
                <anchor moveWithCells="1">
                  <from>
                    <xdr:col>5</xdr:col>
                    <xdr:colOff>27214</xdr:colOff>
                    <xdr:row>171</xdr:row>
                    <xdr:rowOff>0</xdr:rowOff>
                  </from>
                  <to>
                    <xdr:col>10</xdr:col>
                    <xdr:colOff>190500</xdr:colOff>
                    <xdr:row>172</xdr:row>
                    <xdr:rowOff>429986</xdr:rowOff>
                  </to>
                </anchor>
              </controlPr>
            </control>
          </mc:Choice>
        </mc:AlternateContent>
        <mc:AlternateContent xmlns:mc="http://schemas.openxmlformats.org/markup-compatibility/2006">
          <mc:Choice Requires="x14">
            <control shapeId="9559" r:id="rId107" name="Option Button 343">
              <controlPr defaultSize="0" autoFill="0" autoLine="0" autoPict="0">
                <anchor moveWithCells="1">
                  <from>
                    <xdr:col>5</xdr:col>
                    <xdr:colOff>190500</xdr:colOff>
                    <xdr:row>181</xdr:row>
                    <xdr:rowOff>190500</xdr:rowOff>
                  </from>
                  <to>
                    <xdr:col>7</xdr:col>
                    <xdr:colOff>163286</xdr:colOff>
                    <xdr:row>182</xdr:row>
                    <xdr:rowOff>266700</xdr:rowOff>
                  </to>
                </anchor>
              </controlPr>
            </control>
          </mc:Choice>
        </mc:AlternateContent>
        <mc:AlternateContent xmlns:mc="http://schemas.openxmlformats.org/markup-compatibility/2006">
          <mc:Choice Requires="x14">
            <control shapeId="9560" r:id="rId108" name="Option Button 344">
              <controlPr defaultSize="0" autoFill="0" autoLine="0" autoPict="0">
                <anchor moveWithCells="1">
                  <from>
                    <xdr:col>7</xdr:col>
                    <xdr:colOff>103414</xdr:colOff>
                    <xdr:row>181</xdr:row>
                    <xdr:rowOff>190500</xdr:rowOff>
                  </from>
                  <to>
                    <xdr:col>9</xdr:col>
                    <xdr:colOff>76200</xdr:colOff>
                    <xdr:row>182</xdr:row>
                    <xdr:rowOff>266700</xdr:rowOff>
                  </to>
                </anchor>
              </controlPr>
            </control>
          </mc:Choice>
        </mc:AlternateContent>
        <mc:AlternateContent xmlns:mc="http://schemas.openxmlformats.org/markup-compatibility/2006">
          <mc:Choice Requires="x14">
            <control shapeId="9561" r:id="rId109" name="Option Button 345">
              <controlPr defaultSize="0" autoFill="0" autoLine="0" autoPict="0">
                <anchor moveWithCells="1">
                  <from>
                    <xdr:col>5</xdr:col>
                    <xdr:colOff>190500</xdr:colOff>
                    <xdr:row>185</xdr:row>
                    <xdr:rowOff>190500</xdr:rowOff>
                  </from>
                  <to>
                    <xdr:col>7</xdr:col>
                    <xdr:colOff>163286</xdr:colOff>
                    <xdr:row>186</xdr:row>
                    <xdr:rowOff>293914</xdr:rowOff>
                  </to>
                </anchor>
              </controlPr>
            </control>
          </mc:Choice>
        </mc:AlternateContent>
        <mc:AlternateContent xmlns:mc="http://schemas.openxmlformats.org/markup-compatibility/2006">
          <mc:Choice Requires="x14">
            <control shapeId="9562" r:id="rId110" name="Option Button 346">
              <controlPr defaultSize="0" autoFill="0" autoLine="0" autoPict="0">
                <anchor moveWithCells="1">
                  <from>
                    <xdr:col>7</xdr:col>
                    <xdr:colOff>103414</xdr:colOff>
                    <xdr:row>185</xdr:row>
                    <xdr:rowOff>190500</xdr:rowOff>
                  </from>
                  <to>
                    <xdr:col>9</xdr:col>
                    <xdr:colOff>76200</xdr:colOff>
                    <xdr:row>186</xdr:row>
                    <xdr:rowOff>293914</xdr:rowOff>
                  </to>
                </anchor>
              </controlPr>
            </control>
          </mc:Choice>
        </mc:AlternateContent>
        <mc:AlternateContent xmlns:mc="http://schemas.openxmlformats.org/markup-compatibility/2006">
          <mc:Choice Requires="x14">
            <control shapeId="9563" r:id="rId111" name="Option Button 347">
              <controlPr defaultSize="0" autoFill="0" autoLine="0" autoPict="0">
                <anchor moveWithCells="1">
                  <from>
                    <xdr:col>5</xdr:col>
                    <xdr:colOff>190500</xdr:colOff>
                    <xdr:row>189</xdr:row>
                    <xdr:rowOff>190500</xdr:rowOff>
                  </from>
                  <to>
                    <xdr:col>7</xdr:col>
                    <xdr:colOff>163286</xdr:colOff>
                    <xdr:row>190</xdr:row>
                    <xdr:rowOff>293914</xdr:rowOff>
                  </to>
                </anchor>
              </controlPr>
            </control>
          </mc:Choice>
        </mc:AlternateContent>
        <mc:AlternateContent xmlns:mc="http://schemas.openxmlformats.org/markup-compatibility/2006">
          <mc:Choice Requires="x14">
            <control shapeId="9564" r:id="rId112" name="Option Button 348">
              <controlPr defaultSize="0" autoFill="0" autoLine="0" autoPict="0">
                <anchor moveWithCells="1">
                  <from>
                    <xdr:col>7</xdr:col>
                    <xdr:colOff>103414</xdr:colOff>
                    <xdr:row>189</xdr:row>
                    <xdr:rowOff>190500</xdr:rowOff>
                  </from>
                  <to>
                    <xdr:col>9</xdr:col>
                    <xdr:colOff>76200</xdr:colOff>
                    <xdr:row>190</xdr:row>
                    <xdr:rowOff>293914</xdr:rowOff>
                  </to>
                </anchor>
              </controlPr>
            </control>
          </mc:Choice>
        </mc:AlternateContent>
        <mc:AlternateContent xmlns:mc="http://schemas.openxmlformats.org/markup-compatibility/2006">
          <mc:Choice Requires="x14">
            <control shapeId="9565" r:id="rId113" name="Option Button 349">
              <controlPr defaultSize="0" autoFill="0" autoLine="0" autoPict="0">
                <anchor moveWithCells="1">
                  <from>
                    <xdr:col>5</xdr:col>
                    <xdr:colOff>190500</xdr:colOff>
                    <xdr:row>193</xdr:row>
                    <xdr:rowOff>190500</xdr:rowOff>
                  </from>
                  <to>
                    <xdr:col>7</xdr:col>
                    <xdr:colOff>163286</xdr:colOff>
                    <xdr:row>194</xdr:row>
                    <xdr:rowOff>293914</xdr:rowOff>
                  </to>
                </anchor>
              </controlPr>
            </control>
          </mc:Choice>
        </mc:AlternateContent>
        <mc:AlternateContent xmlns:mc="http://schemas.openxmlformats.org/markup-compatibility/2006">
          <mc:Choice Requires="x14">
            <control shapeId="9566" r:id="rId114" name="Option Button 350">
              <controlPr defaultSize="0" autoFill="0" autoLine="0" autoPict="0">
                <anchor moveWithCells="1">
                  <from>
                    <xdr:col>7</xdr:col>
                    <xdr:colOff>103414</xdr:colOff>
                    <xdr:row>193</xdr:row>
                    <xdr:rowOff>190500</xdr:rowOff>
                  </from>
                  <to>
                    <xdr:col>9</xdr:col>
                    <xdr:colOff>76200</xdr:colOff>
                    <xdr:row>194</xdr:row>
                    <xdr:rowOff>293914</xdr:rowOff>
                  </to>
                </anchor>
              </controlPr>
            </control>
          </mc:Choice>
        </mc:AlternateContent>
        <mc:AlternateContent xmlns:mc="http://schemas.openxmlformats.org/markup-compatibility/2006">
          <mc:Choice Requires="x14">
            <control shapeId="9567" r:id="rId115" name="Option Button 351">
              <controlPr defaultSize="0" autoFill="0" autoLine="0" autoPict="0">
                <anchor moveWithCells="1">
                  <from>
                    <xdr:col>5</xdr:col>
                    <xdr:colOff>190500</xdr:colOff>
                    <xdr:row>197</xdr:row>
                    <xdr:rowOff>38100</xdr:rowOff>
                  </from>
                  <to>
                    <xdr:col>7</xdr:col>
                    <xdr:colOff>163286</xdr:colOff>
                    <xdr:row>199</xdr:row>
                    <xdr:rowOff>38100</xdr:rowOff>
                  </to>
                </anchor>
              </controlPr>
            </control>
          </mc:Choice>
        </mc:AlternateContent>
        <mc:AlternateContent xmlns:mc="http://schemas.openxmlformats.org/markup-compatibility/2006">
          <mc:Choice Requires="x14">
            <control shapeId="9568" r:id="rId116" name="Option Button 352">
              <controlPr defaultSize="0" autoFill="0" autoLine="0" autoPict="0">
                <anchor moveWithCells="1">
                  <from>
                    <xdr:col>7</xdr:col>
                    <xdr:colOff>103414</xdr:colOff>
                    <xdr:row>197</xdr:row>
                    <xdr:rowOff>38100</xdr:rowOff>
                  </from>
                  <to>
                    <xdr:col>9</xdr:col>
                    <xdr:colOff>76200</xdr:colOff>
                    <xdr:row>199</xdr:row>
                    <xdr:rowOff>38100</xdr:rowOff>
                  </to>
                </anchor>
              </controlPr>
            </control>
          </mc:Choice>
        </mc:AlternateContent>
        <mc:AlternateContent xmlns:mc="http://schemas.openxmlformats.org/markup-compatibility/2006">
          <mc:Choice Requires="x14">
            <control shapeId="9569" r:id="rId117" name="Option Button 353">
              <controlPr defaultSize="0" autoFill="0" autoLine="0" autoPict="0">
                <anchor moveWithCells="1">
                  <from>
                    <xdr:col>5</xdr:col>
                    <xdr:colOff>190500</xdr:colOff>
                    <xdr:row>201</xdr:row>
                    <xdr:rowOff>190500</xdr:rowOff>
                  </from>
                  <to>
                    <xdr:col>7</xdr:col>
                    <xdr:colOff>163286</xdr:colOff>
                    <xdr:row>202</xdr:row>
                    <xdr:rowOff>293914</xdr:rowOff>
                  </to>
                </anchor>
              </controlPr>
            </control>
          </mc:Choice>
        </mc:AlternateContent>
        <mc:AlternateContent xmlns:mc="http://schemas.openxmlformats.org/markup-compatibility/2006">
          <mc:Choice Requires="x14">
            <control shapeId="9570" r:id="rId118" name="Option Button 354">
              <controlPr defaultSize="0" autoFill="0" autoLine="0" autoPict="0">
                <anchor moveWithCells="1">
                  <from>
                    <xdr:col>7</xdr:col>
                    <xdr:colOff>103414</xdr:colOff>
                    <xdr:row>201</xdr:row>
                    <xdr:rowOff>190500</xdr:rowOff>
                  </from>
                  <to>
                    <xdr:col>9</xdr:col>
                    <xdr:colOff>76200</xdr:colOff>
                    <xdr:row>202</xdr:row>
                    <xdr:rowOff>293914</xdr:rowOff>
                  </to>
                </anchor>
              </controlPr>
            </control>
          </mc:Choice>
        </mc:AlternateContent>
        <mc:AlternateContent xmlns:mc="http://schemas.openxmlformats.org/markup-compatibility/2006">
          <mc:Choice Requires="x14">
            <control shapeId="9572" r:id="rId119" name="Option Button 356">
              <controlPr defaultSize="0" autoFill="0" autoLine="0" autoPict="0">
                <anchor moveWithCells="1">
                  <from>
                    <xdr:col>5</xdr:col>
                    <xdr:colOff>190500</xdr:colOff>
                    <xdr:row>206</xdr:row>
                    <xdr:rowOff>0</xdr:rowOff>
                  </from>
                  <to>
                    <xdr:col>7</xdr:col>
                    <xdr:colOff>163286</xdr:colOff>
                    <xdr:row>206</xdr:row>
                    <xdr:rowOff>293914</xdr:rowOff>
                  </to>
                </anchor>
              </controlPr>
            </control>
          </mc:Choice>
        </mc:AlternateContent>
        <mc:AlternateContent xmlns:mc="http://schemas.openxmlformats.org/markup-compatibility/2006">
          <mc:Choice Requires="x14">
            <control shapeId="9573" r:id="rId120" name="Group Box 357">
              <controlPr defaultSize="0" autoFill="0" autoPict="0">
                <anchor moveWithCells="1">
                  <from>
                    <xdr:col>5</xdr:col>
                    <xdr:colOff>38100</xdr:colOff>
                    <xdr:row>181</xdr:row>
                    <xdr:rowOff>38100</xdr:rowOff>
                  </from>
                  <to>
                    <xdr:col>9</xdr:col>
                    <xdr:colOff>201386</xdr:colOff>
                    <xdr:row>182</xdr:row>
                    <xdr:rowOff>353786</xdr:rowOff>
                  </to>
                </anchor>
              </controlPr>
            </control>
          </mc:Choice>
        </mc:AlternateContent>
        <mc:AlternateContent xmlns:mc="http://schemas.openxmlformats.org/markup-compatibility/2006">
          <mc:Choice Requires="x14">
            <control shapeId="9574" r:id="rId121" name="Group Box 358">
              <controlPr defaultSize="0" autoFill="0" autoPict="0">
                <anchor moveWithCells="1">
                  <from>
                    <xdr:col>5</xdr:col>
                    <xdr:colOff>10886</xdr:colOff>
                    <xdr:row>185</xdr:row>
                    <xdr:rowOff>10886</xdr:rowOff>
                  </from>
                  <to>
                    <xdr:col>9</xdr:col>
                    <xdr:colOff>190500</xdr:colOff>
                    <xdr:row>186</xdr:row>
                    <xdr:rowOff>419100</xdr:rowOff>
                  </to>
                </anchor>
              </controlPr>
            </control>
          </mc:Choice>
        </mc:AlternateContent>
        <mc:AlternateContent xmlns:mc="http://schemas.openxmlformats.org/markup-compatibility/2006">
          <mc:Choice Requires="x14">
            <control shapeId="9575" r:id="rId122" name="Group Box 359">
              <controlPr defaultSize="0" autoFill="0" autoPict="0">
                <anchor moveWithCells="1">
                  <from>
                    <xdr:col>5</xdr:col>
                    <xdr:colOff>10886</xdr:colOff>
                    <xdr:row>189</xdr:row>
                    <xdr:rowOff>0</xdr:rowOff>
                  </from>
                  <to>
                    <xdr:col>9</xdr:col>
                    <xdr:colOff>201386</xdr:colOff>
                    <xdr:row>190</xdr:row>
                    <xdr:rowOff>381000</xdr:rowOff>
                  </to>
                </anchor>
              </controlPr>
            </control>
          </mc:Choice>
        </mc:AlternateContent>
        <mc:AlternateContent xmlns:mc="http://schemas.openxmlformats.org/markup-compatibility/2006">
          <mc:Choice Requires="x14">
            <control shapeId="9576" r:id="rId123" name="Group Box 360">
              <controlPr defaultSize="0" autoFill="0" autoPict="0">
                <anchor moveWithCells="1">
                  <from>
                    <xdr:col>5</xdr:col>
                    <xdr:colOff>0</xdr:colOff>
                    <xdr:row>193</xdr:row>
                    <xdr:rowOff>0</xdr:rowOff>
                  </from>
                  <to>
                    <xdr:col>10</xdr:col>
                    <xdr:colOff>0</xdr:colOff>
                    <xdr:row>194</xdr:row>
                    <xdr:rowOff>353786</xdr:rowOff>
                  </to>
                </anchor>
              </controlPr>
            </control>
          </mc:Choice>
        </mc:AlternateContent>
        <mc:AlternateContent xmlns:mc="http://schemas.openxmlformats.org/markup-compatibility/2006">
          <mc:Choice Requires="x14">
            <control shapeId="9577" r:id="rId124" name="Group Box 361">
              <controlPr defaultSize="0" autoFill="0" autoPict="0">
                <anchor moveWithCells="1">
                  <from>
                    <xdr:col>5</xdr:col>
                    <xdr:colOff>10886</xdr:colOff>
                    <xdr:row>196</xdr:row>
                    <xdr:rowOff>598714</xdr:rowOff>
                  </from>
                  <to>
                    <xdr:col>10</xdr:col>
                    <xdr:colOff>10886</xdr:colOff>
                    <xdr:row>200</xdr:row>
                    <xdr:rowOff>10886</xdr:rowOff>
                  </to>
                </anchor>
              </controlPr>
            </control>
          </mc:Choice>
        </mc:AlternateContent>
        <mc:AlternateContent xmlns:mc="http://schemas.openxmlformats.org/markup-compatibility/2006">
          <mc:Choice Requires="x14">
            <control shapeId="9578" r:id="rId125" name="Group Box 362">
              <controlPr defaultSize="0" autoFill="0" autoPict="0">
                <anchor moveWithCells="1">
                  <from>
                    <xdr:col>5</xdr:col>
                    <xdr:colOff>10886</xdr:colOff>
                    <xdr:row>201</xdr:row>
                    <xdr:rowOff>0</xdr:rowOff>
                  </from>
                  <to>
                    <xdr:col>10</xdr:col>
                    <xdr:colOff>27214</xdr:colOff>
                    <xdr:row>202</xdr:row>
                    <xdr:rowOff>353786</xdr:rowOff>
                  </to>
                </anchor>
              </controlPr>
            </control>
          </mc:Choice>
        </mc:AlternateContent>
        <mc:AlternateContent xmlns:mc="http://schemas.openxmlformats.org/markup-compatibility/2006">
          <mc:Choice Requires="x14">
            <control shapeId="9579" r:id="rId126" name="Group Box 363">
              <controlPr defaultSize="0" autoFill="0" autoPict="0">
                <anchor moveWithCells="1">
                  <from>
                    <xdr:col>4</xdr:col>
                    <xdr:colOff>685800</xdr:colOff>
                    <xdr:row>205</xdr:row>
                    <xdr:rowOff>0</xdr:rowOff>
                  </from>
                  <to>
                    <xdr:col>10</xdr:col>
                    <xdr:colOff>27214</xdr:colOff>
                    <xdr:row>206</xdr:row>
                    <xdr:rowOff>370114</xdr:rowOff>
                  </to>
                </anchor>
              </controlPr>
            </control>
          </mc:Choice>
        </mc:AlternateContent>
        <mc:AlternateContent xmlns:mc="http://schemas.openxmlformats.org/markup-compatibility/2006">
          <mc:Choice Requires="x14">
            <control shapeId="9581" r:id="rId127" name="Option Button 365">
              <controlPr defaultSize="0" autoFill="0" autoLine="0" autoPict="0">
                <anchor moveWithCells="1">
                  <from>
                    <xdr:col>5</xdr:col>
                    <xdr:colOff>190500</xdr:colOff>
                    <xdr:row>224</xdr:row>
                    <xdr:rowOff>87086</xdr:rowOff>
                  </from>
                  <to>
                    <xdr:col>7</xdr:col>
                    <xdr:colOff>163286</xdr:colOff>
                    <xdr:row>226</xdr:row>
                    <xdr:rowOff>10886</xdr:rowOff>
                  </to>
                </anchor>
              </controlPr>
            </control>
          </mc:Choice>
        </mc:AlternateContent>
        <mc:AlternateContent xmlns:mc="http://schemas.openxmlformats.org/markup-compatibility/2006">
          <mc:Choice Requires="x14">
            <control shapeId="9582" r:id="rId128" name="Option Button 366">
              <controlPr defaultSize="0" autoFill="0" autoLine="0" autoPict="0">
                <anchor moveWithCells="1">
                  <from>
                    <xdr:col>7</xdr:col>
                    <xdr:colOff>103414</xdr:colOff>
                    <xdr:row>224</xdr:row>
                    <xdr:rowOff>87086</xdr:rowOff>
                  </from>
                  <to>
                    <xdr:col>9</xdr:col>
                    <xdr:colOff>76200</xdr:colOff>
                    <xdr:row>226</xdr:row>
                    <xdr:rowOff>10886</xdr:rowOff>
                  </to>
                </anchor>
              </controlPr>
            </control>
          </mc:Choice>
        </mc:AlternateContent>
        <mc:AlternateContent xmlns:mc="http://schemas.openxmlformats.org/markup-compatibility/2006">
          <mc:Choice Requires="x14">
            <control shapeId="9583" r:id="rId129" name="Option Button 367">
              <controlPr defaultSize="0" autoFill="0" autoLine="0" autoPict="0">
                <anchor moveWithCells="1">
                  <from>
                    <xdr:col>5</xdr:col>
                    <xdr:colOff>190500</xdr:colOff>
                    <xdr:row>228</xdr:row>
                    <xdr:rowOff>190500</xdr:rowOff>
                  </from>
                  <to>
                    <xdr:col>7</xdr:col>
                    <xdr:colOff>163286</xdr:colOff>
                    <xdr:row>229</xdr:row>
                    <xdr:rowOff>293914</xdr:rowOff>
                  </to>
                </anchor>
              </controlPr>
            </control>
          </mc:Choice>
        </mc:AlternateContent>
        <mc:AlternateContent xmlns:mc="http://schemas.openxmlformats.org/markup-compatibility/2006">
          <mc:Choice Requires="x14">
            <control shapeId="9584" r:id="rId130" name="Option Button 368">
              <controlPr defaultSize="0" autoFill="0" autoLine="0" autoPict="0">
                <anchor moveWithCells="1">
                  <from>
                    <xdr:col>7</xdr:col>
                    <xdr:colOff>103414</xdr:colOff>
                    <xdr:row>228</xdr:row>
                    <xdr:rowOff>190500</xdr:rowOff>
                  </from>
                  <to>
                    <xdr:col>9</xdr:col>
                    <xdr:colOff>76200</xdr:colOff>
                    <xdr:row>229</xdr:row>
                    <xdr:rowOff>293914</xdr:rowOff>
                  </to>
                </anchor>
              </controlPr>
            </control>
          </mc:Choice>
        </mc:AlternateContent>
        <mc:AlternateContent xmlns:mc="http://schemas.openxmlformats.org/markup-compatibility/2006">
          <mc:Choice Requires="x14">
            <control shapeId="9585" r:id="rId131" name="Option Button 369">
              <controlPr defaultSize="0" autoFill="0" autoLine="0" autoPict="0">
                <anchor moveWithCells="1">
                  <from>
                    <xdr:col>5</xdr:col>
                    <xdr:colOff>190500</xdr:colOff>
                    <xdr:row>232</xdr:row>
                    <xdr:rowOff>125186</xdr:rowOff>
                  </from>
                  <to>
                    <xdr:col>7</xdr:col>
                    <xdr:colOff>163286</xdr:colOff>
                    <xdr:row>234</xdr:row>
                    <xdr:rowOff>48986</xdr:rowOff>
                  </to>
                </anchor>
              </controlPr>
            </control>
          </mc:Choice>
        </mc:AlternateContent>
        <mc:AlternateContent xmlns:mc="http://schemas.openxmlformats.org/markup-compatibility/2006">
          <mc:Choice Requires="x14">
            <control shapeId="9586" r:id="rId132" name="Option Button 370">
              <controlPr defaultSize="0" autoFill="0" autoLine="0" autoPict="0">
                <anchor moveWithCells="1">
                  <from>
                    <xdr:col>7</xdr:col>
                    <xdr:colOff>103414</xdr:colOff>
                    <xdr:row>232</xdr:row>
                    <xdr:rowOff>125186</xdr:rowOff>
                  </from>
                  <to>
                    <xdr:col>9</xdr:col>
                    <xdr:colOff>76200</xdr:colOff>
                    <xdr:row>234</xdr:row>
                    <xdr:rowOff>48986</xdr:rowOff>
                  </to>
                </anchor>
              </controlPr>
            </control>
          </mc:Choice>
        </mc:AlternateContent>
        <mc:AlternateContent xmlns:mc="http://schemas.openxmlformats.org/markup-compatibility/2006">
          <mc:Choice Requires="x14">
            <control shapeId="9587" r:id="rId133" name="Group Box 371">
              <controlPr defaultSize="0" autoFill="0" autoPict="0">
                <anchor moveWithCells="1">
                  <from>
                    <xdr:col>5</xdr:col>
                    <xdr:colOff>10886</xdr:colOff>
                    <xdr:row>224</xdr:row>
                    <xdr:rowOff>0</xdr:rowOff>
                  </from>
                  <to>
                    <xdr:col>10</xdr:col>
                    <xdr:colOff>190500</xdr:colOff>
                    <xdr:row>226</xdr:row>
                    <xdr:rowOff>65314</xdr:rowOff>
                  </to>
                </anchor>
              </controlPr>
            </control>
          </mc:Choice>
        </mc:AlternateContent>
        <mc:AlternateContent xmlns:mc="http://schemas.openxmlformats.org/markup-compatibility/2006">
          <mc:Choice Requires="x14">
            <control shapeId="9588" r:id="rId134" name="Group Box 372">
              <controlPr defaultSize="0" autoFill="0" autoPict="0">
                <anchor moveWithCells="1">
                  <from>
                    <xdr:col>5</xdr:col>
                    <xdr:colOff>10886</xdr:colOff>
                    <xdr:row>228</xdr:row>
                    <xdr:rowOff>0</xdr:rowOff>
                  </from>
                  <to>
                    <xdr:col>10</xdr:col>
                    <xdr:colOff>201386</xdr:colOff>
                    <xdr:row>229</xdr:row>
                    <xdr:rowOff>332014</xdr:rowOff>
                  </to>
                </anchor>
              </controlPr>
            </control>
          </mc:Choice>
        </mc:AlternateContent>
        <mc:AlternateContent xmlns:mc="http://schemas.openxmlformats.org/markup-compatibility/2006">
          <mc:Choice Requires="x14">
            <control shapeId="9590" r:id="rId135" name="Option Button 374">
              <controlPr defaultSize="0" autoFill="0" autoLine="0" autoPict="0">
                <anchor moveWithCells="1">
                  <from>
                    <xdr:col>5</xdr:col>
                    <xdr:colOff>190500</xdr:colOff>
                    <xdr:row>250</xdr:row>
                    <xdr:rowOff>125186</xdr:rowOff>
                  </from>
                  <to>
                    <xdr:col>7</xdr:col>
                    <xdr:colOff>163286</xdr:colOff>
                    <xdr:row>252</xdr:row>
                    <xdr:rowOff>48986</xdr:rowOff>
                  </to>
                </anchor>
              </controlPr>
            </control>
          </mc:Choice>
        </mc:AlternateContent>
        <mc:AlternateContent xmlns:mc="http://schemas.openxmlformats.org/markup-compatibility/2006">
          <mc:Choice Requires="x14">
            <control shapeId="9591" r:id="rId136" name="Option Button 375">
              <controlPr defaultSize="0" autoFill="0" autoLine="0" autoPict="0">
                <anchor moveWithCells="1">
                  <from>
                    <xdr:col>7</xdr:col>
                    <xdr:colOff>103414</xdr:colOff>
                    <xdr:row>250</xdr:row>
                    <xdr:rowOff>125186</xdr:rowOff>
                  </from>
                  <to>
                    <xdr:col>9</xdr:col>
                    <xdr:colOff>76200</xdr:colOff>
                    <xdr:row>252</xdr:row>
                    <xdr:rowOff>48986</xdr:rowOff>
                  </to>
                </anchor>
              </controlPr>
            </control>
          </mc:Choice>
        </mc:AlternateContent>
        <mc:AlternateContent xmlns:mc="http://schemas.openxmlformats.org/markup-compatibility/2006">
          <mc:Choice Requires="x14">
            <control shapeId="9592" r:id="rId137" name="Group Box 376">
              <controlPr defaultSize="0" autoFill="0" autoPict="0">
                <anchor moveWithCells="1">
                  <from>
                    <xdr:col>5</xdr:col>
                    <xdr:colOff>10886</xdr:colOff>
                    <xdr:row>250</xdr:row>
                    <xdr:rowOff>27214</xdr:rowOff>
                  </from>
                  <to>
                    <xdr:col>10</xdr:col>
                    <xdr:colOff>201386</xdr:colOff>
                    <xdr:row>253</xdr:row>
                    <xdr:rowOff>0</xdr:rowOff>
                  </to>
                </anchor>
              </controlPr>
            </control>
          </mc:Choice>
        </mc:AlternateContent>
        <mc:AlternateContent xmlns:mc="http://schemas.openxmlformats.org/markup-compatibility/2006">
          <mc:Choice Requires="x14">
            <control shapeId="9597" r:id="rId138" name="Check Box 381">
              <controlPr defaultSize="0" autoFill="0" autoLine="0" autoPict="0">
                <anchor moveWithCells="1">
                  <from>
                    <xdr:col>4</xdr:col>
                    <xdr:colOff>141514</xdr:colOff>
                    <xdr:row>91</xdr:row>
                    <xdr:rowOff>38100</xdr:rowOff>
                  </from>
                  <to>
                    <xdr:col>11</xdr:col>
                    <xdr:colOff>103414</xdr:colOff>
                    <xdr:row>92</xdr:row>
                    <xdr:rowOff>255814</xdr:rowOff>
                  </to>
                </anchor>
              </controlPr>
            </control>
          </mc:Choice>
        </mc:AlternateContent>
        <mc:AlternateContent xmlns:mc="http://schemas.openxmlformats.org/markup-compatibility/2006">
          <mc:Choice Requires="x14">
            <control shapeId="9607" r:id="rId139" name="Option Button 391">
              <controlPr defaultSize="0" autoFill="0" autoLine="0" autoPict="0">
                <anchor moveWithCells="1">
                  <from>
                    <xdr:col>5</xdr:col>
                    <xdr:colOff>190500</xdr:colOff>
                    <xdr:row>298</xdr:row>
                    <xdr:rowOff>114300</xdr:rowOff>
                  </from>
                  <to>
                    <xdr:col>7</xdr:col>
                    <xdr:colOff>163286</xdr:colOff>
                    <xdr:row>300</xdr:row>
                    <xdr:rowOff>38100</xdr:rowOff>
                  </to>
                </anchor>
              </controlPr>
            </control>
          </mc:Choice>
        </mc:AlternateContent>
        <mc:AlternateContent xmlns:mc="http://schemas.openxmlformats.org/markup-compatibility/2006">
          <mc:Choice Requires="x14">
            <control shapeId="9608" r:id="rId140" name="Option Button 392">
              <controlPr defaultSize="0" autoFill="0" autoLine="0" autoPict="0">
                <anchor moveWithCells="1">
                  <from>
                    <xdr:col>7</xdr:col>
                    <xdr:colOff>103414</xdr:colOff>
                    <xdr:row>298</xdr:row>
                    <xdr:rowOff>114300</xdr:rowOff>
                  </from>
                  <to>
                    <xdr:col>9</xdr:col>
                    <xdr:colOff>76200</xdr:colOff>
                    <xdr:row>300</xdr:row>
                    <xdr:rowOff>38100</xdr:rowOff>
                  </to>
                </anchor>
              </controlPr>
            </control>
          </mc:Choice>
        </mc:AlternateContent>
        <mc:AlternateContent xmlns:mc="http://schemas.openxmlformats.org/markup-compatibility/2006">
          <mc:Choice Requires="x14">
            <control shapeId="9609" r:id="rId141" name="Option Button 393">
              <controlPr defaultSize="0" autoFill="0" autoLine="0" autoPict="0">
                <anchor moveWithCells="1">
                  <from>
                    <xdr:col>5</xdr:col>
                    <xdr:colOff>190500</xdr:colOff>
                    <xdr:row>300</xdr:row>
                    <xdr:rowOff>114300</xdr:rowOff>
                  </from>
                  <to>
                    <xdr:col>7</xdr:col>
                    <xdr:colOff>163286</xdr:colOff>
                    <xdr:row>302</xdr:row>
                    <xdr:rowOff>48986</xdr:rowOff>
                  </to>
                </anchor>
              </controlPr>
            </control>
          </mc:Choice>
        </mc:AlternateContent>
        <mc:AlternateContent xmlns:mc="http://schemas.openxmlformats.org/markup-compatibility/2006">
          <mc:Choice Requires="x14">
            <control shapeId="9610" r:id="rId142" name="Option Button 394">
              <controlPr defaultSize="0" autoFill="0" autoLine="0" autoPict="0">
                <anchor moveWithCells="1">
                  <from>
                    <xdr:col>7</xdr:col>
                    <xdr:colOff>103414</xdr:colOff>
                    <xdr:row>300</xdr:row>
                    <xdr:rowOff>114300</xdr:rowOff>
                  </from>
                  <to>
                    <xdr:col>9</xdr:col>
                    <xdr:colOff>76200</xdr:colOff>
                    <xdr:row>302</xdr:row>
                    <xdr:rowOff>48986</xdr:rowOff>
                  </to>
                </anchor>
              </controlPr>
            </control>
          </mc:Choice>
        </mc:AlternateContent>
        <mc:AlternateContent xmlns:mc="http://schemas.openxmlformats.org/markup-compatibility/2006">
          <mc:Choice Requires="x14">
            <control shapeId="9611" r:id="rId143" name="Option Button 395">
              <controlPr defaultSize="0" autoFill="0" autoLine="0" autoPict="0">
                <anchor moveWithCells="1">
                  <from>
                    <xdr:col>5</xdr:col>
                    <xdr:colOff>190500</xdr:colOff>
                    <xdr:row>302</xdr:row>
                    <xdr:rowOff>114300</xdr:rowOff>
                  </from>
                  <to>
                    <xdr:col>7</xdr:col>
                    <xdr:colOff>163286</xdr:colOff>
                    <xdr:row>304</xdr:row>
                    <xdr:rowOff>48986</xdr:rowOff>
                  </to>
                </anchor>
              </controlPr>
            </control>
          </mc:Choice>
        </mc:AlternateContent>
        <mc:AlternateContent xmlns:mc="http://schemas.openxmlformats.org/markup-compatibility/2006">
          <mc:Choice Requires="x14">
            <control shapeId="9612" r:id="rId144" name="Option Button 396">
              <controlPr defaultSize="0" autoFill="0" autoLine="0" autoPict="0">
                <anchor moveWithCells="1">
                  <from>
                    <xdr:col>7</xdr:col>
                    <xdr:colOff>103414</xdr:colOff>
                    <xdr:row>302</xdr:row>
                    <xdr:rowOff>114300</xdr:rowOff>
                  </from>
                  <to>
                    <xdr:col>9</xdr:col>
                    <xdr:colOff>76200</xdr:colOff>
                    <xdr:row>304</xdr:row>
                    <xdr:rowOff>48986</xdr:rowOff>
                  </to>
                </anchor>
              </controlPr>
            </control>
          </mc:Choice>
        </mc:AlternateContent>
        <mc:AlternateContent xmlns:mc="http://schemas.openxmlformats.org/markup-compatibility/2006">
          <mc:Choice Requires="x14">
            <control shapeId="9620" r:id="rId145" name="Option Button 404">
              <controlPr defaultSize="0" autoFill="0" autoLine="0" autoPict="0">
                <anchor moveWithCells="1">
                  <from>
                    <xdr:col>5</xdr:col>
                    <xdr:colOff>179614</xdr:colOff>
                    <xdr:row>316</xdr:row>
                    <xdr:rowOff>114300</xdr:rowOff>
                  </from>
                  <to>
                    <xdr:col>7</xdr:col>
                    <xdr:colOff>152400</xdr:colOff>
                    <xdr:row>318</xdr:row>
                    <xdr:rowOff>38100</xdr:rowOff>
                  </to>
                </anchor>
              </controlPr>
            </control>
          </mc:Choice>
        </mc:AlternateContent>
        <mc:AlternateContent xmlns:mc="http://schemas.openxmlformats.org/markup-compatibility/2006">
          <mc:Choice Requires="x14">
            <control shapeId="9621" r:id="rId146" name="Option Button 405">
              <controlPr defaultSize="0" autoFill="0" autoLine="0" autoPict="0">
                <anchor moveWithCells="1">
                  <from>
                    <xdr:col>7</xdr:col>
                    <xdr:colOff>76200</xdr:colOff>
                    <xdr:row>316</xdr:row>
                    <xdr:rowOff>114300</xdr:rowOff>
                  </from>
                  <to>
                    <xdr:col>9</xdr:col>
                    <xdr:colOff>48986</xdr:colOff>
                    <xdr:row>318</xdr:row>
                    <xdr:rowOff>38100</xdr:rowOff>
                  </to>
                </anchor>
              </controlPr>
            </control>
          </mc:Choice>
        </mc:AlternateContent>
        <mc:AlternateContent xmlns:mc="http://schemas.openxmlformats.org/markup-compatibility/2006">
          <mc:Choice Requires="x14">
            <control shapeId="9622" r:id="rId147" name="Option Button 406">
              <controlPr defaultSize="0" autoFill="0" autoLine="0" autoPict="0">
                <anchor moveWithCells="1">
                  <from>
                    <xdr:col>5</xdr:col>
                    <xdr:colOff>179614</xdr:colOff>
                    <xdr:row>318</xdr:row>
                    <xdr:rowOff>87086</xdr:rowOff>
                  </from>
                  <to>
                    <xdr:col>7</xdr:col>
                    <xdr:colOff>152400</xdr:colOff>
                    <xdr:row>320</xdr:row>
                    <xdr:rowOff>48986</xdr:rowOff>
                  </to>
                </anchor>
              </controlPr>
            </control>
          </mc:Choice>
        </mc:AlternateContent>
        <mc:AlternateContent xmlns:mc="http://schemas.openxmlformats.org/markup-compatibility/2006">
          <mc:Choice Requires="x14">
            <control shapeId="9623" r:id="rId148" name="Option Button 407">
              <controlPr defaultSize="0" autoFill="0" autoLine="0" autoPict="0">
                <anchor moveWithCells="1">
                  <from>
                    <xdr:col>7</xdr:col>
                    <xdr:colOff>76200</xdr:colOff>
                    <xdr:row>318</xdr:row>
                    <xdr:rowOff>87086</xdr:rowOff>
                  </from>
                  <to>
                    <xdr:col>9</xdr:col>
                    <xdr:colOff>48986</xdr:colOff>
                    <xdr:row>320</xdr:row>
                    <xdr:rowOff>48986</xdr:rowOff>
                  </to>
                </anchor>
              </controlPr>
            </control>
          </mc:Choice>
        </mc:AlternateContent>
        <mc:AlternateContent xmlns:mc="http://schemas.openxmlformats.org/markup-compatibility/2006">
          <mc:Choice Requires="x14">
            <control shapeId="9627" r:id="rId149" name="Group Box 411">
              <controlPr defaultSize="0" autoFill="0" autoPict="0">
                <anchor moveWithCells="1">
                  <from>
                    <xdr:col>5</xdr:col>
                    <xdr:colOff>10886</xdr:colOff>
                    <xdr:row>316</xdr:row>
                    <xdr:rowOff>27214</xdr:rowOff>
                  </from>
                  <to>
                    <xdr:col>10</xdr:col>
                    <xdr:colOff>190500</xdr:colOff>
                    <xdr:row>318</xdr:row>
                    <xdr:rowOff>48986</xdr:rowOff>
                  </to>
                </anchor>
              </controlPr>
            </control>
          </mc:Choice>
        </mc:AlternateContent>
        <mc:AlternateContent xmlns:mc="http://schemas.openxmlformats.org/markup-compatibility/2006">
          <mc:Choice Requires="x14">
            <control shapeId="9628" r:id="rId150" name="Group Box 412">
              <controlPr defaultSize="0" autoFill="0" autoPict="0">
                <anchor moveWithCells="1">
                  <from>
                    <xdr:col>5</xdr:col>
                    <xdr:colOff>10886</xdr:colOff>
                    <xdr:row>318</xdr:row>
                    <xdr:rowOff>48986</xdr:rowOff>
                  </from>
                  <to>
                    <xdr:col>10</xdr:col>
                    <xdr:colOff>190500</xdr:colOff>
                    <xdr:row>320</xdr:row>
                    <xdr:rowOff>65314</xdr:rowOff>
                  </to>
                </anchor>
              </controlPr>
            </control>
          </mc:Choice>
        </mc:AlternateContent>
        <mc:AlternateContent xmlns:mc="http://schemas.openxmlformats.org/markup-compatibility/2006">
          <mc:Choice Requires="x14">
            <control shapeId="9634" r:id="rId151" name="Option Button 418">
              <controlPr defaultSize="0" autoFill="0" autoLine="0" autoPict="0">
                <anchor moveWithCells="1">
                  <from>
                    <xdr:col>5</xdr:col>
                    <xdr:colOff>103414</xdr:colOff>
                    <xdr:row>463</xdr:row>
                    <xdr:rowOff>141514</xdr:rowOff>
                  </from>
                  <to>
                    <xdr:col>7</xdr:col>
                    <xdr:colOff>76200</xdr:colOff>
                    <xdr:row>464</xdr:row>
                    <xdr:rowOff>239486</xdr:rowOff>
                  </to>
                </anchor>
              </controlPr>
            </control>
          </mc:Choice>
        </mc:AlternateContent>
        <mc:AlternateContent xmlns:mc="http://schemas.openxmlformats.org/markup-compatibility/2006">
          <mc:Choice Requires="x14">
            <control shapeId="9635" r:id="rId152" name="Option Button 419">
              <controlPr defaultSize="0" autoFill="0" autoLine="0" autoPict="0">
                <anchor moveWithCells="1">
                  <from>
                    <xdr:col>7</xdr:col>
                    <xdr:colOff>38100</xdr:colOff>
                    <xdr:row>463</xdr:row>
                    <xdr:rowOff>141514</xdr:rowOff>
                  </from>
                  <to>
                    <xdr:col>9</xdr:col>
                    <xdr:colOff>10886</xdr:colOff>
                    <xdr:row>464</xdr:row>
                    <xdr:rowOff>239486</xdr:rowOff>
                  </to>
                </anchor>
              </controlPr>
            </control>
          </mc:Choice>
        </mc:AlternateContent>
        <mc:AlternateContent xmlns:mc="http://schemas.openxmlformats.org/markup-compatibility/2006">
          <mc:Choice Requires="x14">
            <control shapeId="9636" r:id="rId153" name="Option Button 420">
              <controlPr defaultSize="0" autoFill="0" autoLine="0" autoPict="0">
                <anchor moveWithCells="1">
                  <from>
                    <xdr:col>8</xdr:col>
                    <xdr:colOff>201386</xdr:colOff>
                    <xdr:row>463</xdr:row>
                    <xdr:rowOff>141514</xdr:rowOff>
                  </from>
                  <to>
                    <xdr:col>10</xdr:col>
                    <xdr:colOff>179614</xdr:colOff>
                    <xdr:row>464</xdr:row>
                    <xdr:rowOff>239486</xdr:rowOff>
                  </to>
                </anchor>
              </controlPr>
            </control>
          </mc:Choice>
        </mc:AlternateContent>
        <mc:AlternateContent xmlns:mc="http://schemas.openxmlformats.org/markup-compatibility/2006">
          <mc:Choice Requires="x14">
            <control shapeId="9638" r:id="rId154" name="Option Button 422">
              <controlPr defaultSize="0" autoFill="0" autoLine="0" autoPict="0">
                <anchor moveWithCells="1">
                  <from>
                    <xdr:col>5</xdr:col>
                    <xdr:colOff>103414</xdr:colOff>
                    <xdr:row>468</xdr:row>
                    <xdr:rowOff>0</xdr:rowOff>
                  </from>
                  <to>
                    <xdr:col>7</xdr:col>
                    <xdr:colOff>76200</xdr:colOff>
                    <xdr:row>468</xdr:row>
                    <xdr:rowOff>293914</xdr:rowOff>
                  </to>
                </anchor>
              </controlPr>
            </control>
          </mc:Choice>
        </mc:AlternateContent>
        <mc:AlternateContent xmlns:mc="http://schemas.openxmlformats.org/markup-compatibility/2006">
          <mc:Choice Requires="x14">
            <control shapeId="9639" r:id="rId155" name="Option Button 423">
              <controlPr defaultSize="0" autoFill="0" autoLine="0" autoPict="0">
                <anchor moveWithCells="1">
                  <from>
                    <xdr:col>7</xdr:col>
                    <xdr:colOff>38100</xdr:colOff>
                    <xdr:row>468</xdr:row>
                    <xdr:rowOff>0</xdr:rowOff>
                  </from>
                  <to>
                    <xdr:col>9</xdr:col>
                    <xdr:colOff>10886</xdr:colOff>
                    <xdr:row>468</xdr:row>
                    <xdr:rowOff>293914</xdr:rowOff>
                  </to>
                </anchor>
              </controlPr>
            </control>
          </mc:Choice>
        </mc:AlternateContent>
        <mc:AlternateContent xmlns:mc="http://schemas.openxmlformats.org/markup-compatibility/2006">
          <mc:Choice Requires="x14">
            <control shapeId="9640" r:id="rId156" name="Option Button 424">
              <controlPr defaultSize="0" autoFill="0" autoLine="0" autoPict="0">
                <anchor moveWithCells="1">
                  <from>
                    <xdr:col>8</xdr:col>
                    <xdr:colOff>201386</xdr:colOff>
                    <xdr:row>468</xdr:row>
                    <xdr:rowOff>0</xdr:rowOff>
                  </from>
                  <to>
                    <xdr:col>10</xdr:col>
                    <xdr:colOff>179614</xdr:colOff>
                    <xdr:row>468</xdr:row>
                    <xdr:rowOff>293914</xdr:rowOff>
                  </to>
                </anchor>
              </controlPr>
            </control>
          </mc:Choice>
        </mc:AlternateContent>
        <mc:AlternateContent xmlns:mc="http://schemas.openxmlformats.org/markup-compatibility/2006">
          <mc:Choice Requires="x14">
            <control shapeId="9642" r:id="rId157" name="Option Button 426">
              <controlPr defaultSize="0" autoFill="0" autoLine="0" autoPict="0">
                <anchor moveWithCells="1">
                  <from>
                    <xdr:col>5</xdr:col>
                    <xdr:colOff>103414</xdr:colOff>
                    <xdr:row>465</xdr:row>
                    <xdr:rowOff>141514</xdr:rowOff>
                  </from>
                  <to>
                    <xdr:col>7</xdr:col>
                    <xdr:colOff>76200</xdr:colOff>
                    <xdr:row>466</xdr:row>
                    <xdr:rowOff>277586</xdr:rowOff>
                  </to>
                </anchor>
              </controlPr>
            </control>
          </mc:Choice>
        </mc:AlternateContent>
        <mc:AlternateContent xmlns:mc="http://schemas.openxmlformats.org/markup-compatibility/2006">
          <mc:Choice Requires="x14">
            <control shapeId="9643" r:id="rId158" name="Option Button 427">
              <controlPr defaultSize="0" autoFill="0" autoLine="0" autoPict="0">
                <anchor moveWithCells="1">
                  <from>
                    <xdr:col>7</xdr:col>
                    <xdr:colOff>38100</xdr:colOff>
                    <xdr:row>465</xdr:row>
                    <xdr:rowOff>141514</xdr:rowOff>
                  </from>
                  <to>
                    <xdr:col>9</xdr:col>
                    <xdr:colOff>10886</xdr:colOff>
                    <xdr:row>466</xdr:row>
                    <xdr:rowOff>277586</xdr:rowOff>
                  </to>
                </anchor>
              </controlPr>
            </control>
          </mc:Choice>
        </mc:AlternateContent>
        <mc:AlternateContent xmlns:mc="http://schemas.openxmlformats.org/markup-compatibility/2006">
          <mc:Choice Requires="x14">
            <control shapeId="9644" r:id="rId159" name="Option Button 428">
              <controlPr defaultSize="0" autoFill="0" autoLine="0" autoPict="0">
                <anchor moveWithCells="1">
                  <from>
                    <xdr:col>8</xdr:col>
                    <xdr:colOff>201386</xdr:colOff>
                    <xdr:row>465</xdr:row>
                    <xdr:rowOff>141514</xdr:rowOff>
                  </from>
                  <to>
                    <xdr:col>10</xdr:col>
                    <xdr:colOff>179614</xdr:colOff>
                    <xdr:row>466</xdr:row>
                    <xdr:rowOff>277586</xdr:rowOff>
                  </to>
                </anchor>
              </controlPr>
            </control>
          </mc:Choice>
        </mc:AlternateContent>
        <mc:AlternateContent xmlns:mc="http://schemas.openxmlformats.org/markup-compatibility/2006">
          <mc:Choice Requires="x14">
            <control shapeId="9646" r:id="rId160" name="Option Button 430">
              <controlPr defaultSize="0" autoFill="0" autoLine="0" autoPict="0">
                <anchor moveWithCells="1">
                  <from>
                    <xdr:col>5</xdr:col>
                    <xdr:colOff>103414</xdr:colOff>
                    <xdr:row>469</xdr:row>
                    <xdr:rowOff>141514</xdr:rowOff>
                  </from>
                  <to>
                    <xdr:col>7</xdr:col>
                    <xdr:colOff>76200</xdr:colOff>
                    <xdr:row>470</xdr:row>
                    <xdr:rowOff>277586</xdr:rowOff>
                  </to>
                </anchor>
              </controlPr>
            </control>
          </mc:Choice>
        </mc:AlternateContent>
        <mc:AlternateContent xmlns:mc="http://schemas.openxmlformats.org/markup-compatibility/2006">
          <mc:Choice Requires="x14">
            <control shapeId="9647" r:id="rId161" name="Option Button 431">
              <controlPr defaultSize="0" autoFill="0" autoLine="0" autoPict="0">
                <anchor moveWithCells="1">
                  <from>
                    <xdr:col>7</xdr:col>
                    <xdr:colOff>38100</xdr:colOff>
                    <xdr:row>469</xdr:row>
                    <xdr:rowOff>141514</xdr:rowOff>
                  </from>
                  <to>
                    <xdr:col>9</xdr:col>
                    <xdr:colOff>10886</xdr:colOff>
                    <xdr:row>470</xdr:row>
                    <xdr:rowOff>277586</xdr:rowOff>
                  </to>
                </anchor>
              </controlPr>
            </control>
          </mc:Choice>
        </mc:AlternateContent>
        <mc:AlternateContent xmlns:mc="http://schemas.openxmlformats.org/markup-compatibility/2006">
          <mc:Choice Requires="x14">
            <control shapeId="9648" r:id="rId162" name="Option Button 432">
              <controlPr defaultSize="0" autoFill="0" autoLine="0" autoPict="0">
                <anchor moveWithCells="1">
                  <from>
                    <xdr:col>8</xdr:col>
                    <xdr:colOff>201386</xdr:colOff>
                    <xdr:row>469</xdr:row>
                    <xdr:rowOff>141514</xdr:rowOff>
                  </from>
                  <to>
                    <xdr:col>10</xdr:col>
                    <xdr:colOff>179614</xdr:colOff>
                    <xdr:row>470</xdr:row>
                    <xdr:rowOff>277586</xdr:rowOff>
                  </to>
                </anchor>
              </controlPr>
            </control>
          </mc:Choice>
        </mc:AlternateContent>
        <mc:AlternateContent xmlns:mc="http://schemas.openxmlformats.org/markup-compatibility/2006">
          <mc:Choice Requires="x14">
            <control shapeId="9650" r:id="rId163" name="Group Box 434">
              <controlPr defaultSize="0" autoFill="0" autoPict="0">
                <anchor moveWithCells="1">
                  <from>
                    <xdr:col>5</xdr:col>
                    <xdr:colOff>0</xdr:colOff>
                    <xdr:row>463</xdr:row>
                    <xdr:rowOff>38100</xdr:rowOff>
                  </from>
                  <to>
                    <xdr:col>11</xdr:col>
                    <xdr:colOff>76200</xdr:colOff>
                    <xdr:row>464</xdr:row>
                    <xdr:rowOff>370114</xdr:rowOff>
                  </to>
                </anchor>
              </controlPr>
            </control>
          </mc:Choice>
        </mc:AlternateContent>
        <mc:AlternateContent xmlns:mc="http://schemas.openxmlformats.org/markup-compatibility/2006">
          <mc:Choice Requires="x14">
            <control shapeId="9651" r:id="rId164" name="Group Box 435">
              <controlPr defaultSize="0" autoFill="0" autoPict="0">
                <anchor moveWithCells="1">
                  <from>
                    <xdr:col>4</xdr:col>
                    <xdr:colOff>598714</xdr:colOff>
                    <xdr:row>465</xdr:row>
                    <xdr:rowOff>10886</xdr:rowOff>
                  </from>
                  <to>
                    <xdr:col>11</xdr:col>
                    <xdr:colOff>65314</xdr:colOff>
                    <xdr:row>466</xdr:row>
                    <xdr:rowOff>429986</xdr:rowOff>
                  </to>
                </anchor>
              </controlPr>
            </control>
          </mc:Choice>
        </mc:AlternateContent>
        <mc:AlternateContent xmlns:mc="http://schemas.openxmlformats.org/markup-compatibility/2006">
          <mc:Choice Requires="x14">
            <control shapeId="9652" r:id="rId165" name="Group Box 436">
              <controlPr defaultSize="0" autoFill="0" autoPict="0">
                <anchor moveWithCells="1">
                  <from>
                    <xdr:col>4</xdr:col>
                    <xdr:colOff>582386</xdr:colOff>
                    <xdr:row>468</xdr:row>
                    <xdr:rowOff>0</xdr:rowOff>
                  </from>
                  <to>
                    <xdr:col>11</xdr:col>
                    <xdr:colOff>103414</xdr:colOff>
                    <xdr:row>468</xdr:row>
                    <xdr:rowOff>408214</xdr:rowOff>
                  </to>
                </anchor>
              </controlPr>
            </control>
          </mc:Choice>
        </mc:AlternateContent>
        <mc:AlternateContent xmlns:mc="http://schemas.openxmlformats.org/markup-compatibility/2006">
          <mc:Choice Requires="x14">
            <control shapeId="9653" r:id="rId166" name="Group Box 437">
              <controlPr defaultSize="0" autoFill="0" autoPict="0">
                <anchor moveWithCells="1">
                  <from>
                    <xdr:col>4</xdr:col>
                    <xdr:colOff>582386</xdr:colOff>
                    <xdr:row>469</xdr:row>
                    <xdr:rowOff>0</xdr:rowOff>
                  </from>
                  <to>
                    <xdr:col>11</xdr:col>
                    <xdr:colOff>103414</xdr:colOff>
                    <xdr:row>470</xdr:row>
                    <xdr:rowOff>391886</xdr:rowOff>
                  </to>
                </anchor>
              </controlPr>
            </control>
          </mc:Choice>
        </mc:AlternateContent>
        <mc:AlternateContent xmlns:mc="http://schemas.openxmlformats.org/markup-compatibility/2006">
          <mc:Choice Requires="x14">
            <control shapeId="9655" r:id="rId167" name="Option Button 439">
              <controlPr defaultSize="0" autoFill="0" autoLine="0" autoPict="0">
                <anchor moveWithCells="1">
                  <from>
                    <xdr:col>5</xdr:col>
                    <xdr:colOff>103414</xdr:colOff>
                    <xdr:row>479</xdr:row>
                    <xdr:rowOff>103414</xdr:rowOff>
                  </from>
                  <to>
                    <xdr:col>7</xdr:col>
                    <xdr:colOff>76200</xdr:colOff>
                    <xdr:row>481</xdr:row>
                    <xdr:rowOff>0</xdr:rowOff>
                  </to>
                </anchor>
              </controlPr>
            </control>
          </mc:Choice>
        </mc:AlternateContent>
        <mc:AlternateContent xmlns:mc="http://schemas.openxmlformats.org/markup-compatibility/2006">
          <mc:Choice Requires="x14">
            <control shapeId="9656" r:id="rId168" name="Option Button 440">
              <controlPr defaultSize="0" autoFill="0" autoLine="0" autoPict="0">
                <anchor moveWithCells="1">
                  <from>
                    <xdr:col>7</xdr:col>
                    <xdr:colOff>38100</xdr:colOff>
                    <xdr:row>479</xdr:row>
                    <xdr:rowOff>103414</xdr:rowOff>
                  </from>
                  <to>
                    <xdr:col>9</xdr:col>
                    <xdr:colOff>10886</xdr:colOff>
                    <xdr:row>481</xdr:row>
                    <xdr:rowOff>0</xdr:rowOff>
                  </to>
                </anchor>
              </controlPr>
            </control>
          </mc:Choice>
        </mc:AlternateContent>
        <mc:AlternateContent xmlns:mc="http://schemas.openxmlformats.org/markup-compatibility/2006">
          <mc:Choice Requires="x14">
            <control shapeId="9657" r:id="rId169" name="Option Button 441">
              <controlPr defaultSize="0" autoFill="0" autoLine="0" autoPict="0">
                <anchor moveWithCells="1">
                  <from>
                    <xdr:col>8</xdr:col>
                    <xdr:colOff>201386</xdr:colOff>
                    <xdr:row>479</xdr:row>
                    <xdr:rowOff>103414</xdr:rowOff>
                  </from>
                  <to>
                    <xdr:col>10</xdr:col>
                    <xdr:colOff>179614</xdr:colOff>
                    <xdr:row>481</xdr:row>
                    <xdr:rowOff>0</xdr:rowOff>
                  </to>
                </anchor>
              </controlPr>
            </control>
          </mc:Choice>
        </mc:AlternateContent>
        <mc:AlternateContent xmlns:mc="http://schemas.openxmlformats.org/markup-compatibility/2006">
          <mc:Choice Requires="x14">
            <control shapeId="9659" r:id="rId170" name="Option Button 443">
              <controlPr defaultSize="0" autoFill="0" autoLine="0" autoPict="0">
                <anchor moveWithCells="1">
                  <from>
                    <xdr:col>5</xdr:col>
                    <xdr:colOff>103414</xdr:colOff>
                    <xdr:row>481</xdr:row>
                    <xdr:rowOff>141514</xdr:rowOff>
                  </from>
                  <to>
                    <xdr:col>7</xdr:col>
                    <xdr:colOff>76200</xdr:colOff>
                    <xdr:row>482</xdr:row>
                    <xdr:rowOff>293914</xdr:rowOff>
                  </to>
                </anchor>
              </controlPr>
            </control>
          </mc:Choice>
        </mc:AlternateContent>
        <mc:AlternateContent xmlns:mc="http://schemas.openxmlformats.org/markup-compatibility/2006">
          <mc:Choice Requires="x14">
            <control shapeId="9660" r:id="rId171" name="Option Button 444">
              <controlPr defaultSize="0" autoFill="0" autoLine="0" autoPict="0">
                <anchor moveWithCells="1">
                  <from>
                    <xdr:col>7</xdr:col>
                    <xdr:colOff>38100</xdr:colOff>
                    <xdr:row>481</xdr:row>
                    <xdr:rowOff>141514</xdr:rowOff>
                  </from>
                  <to>
                    <xdr:col>9</xdr:col>
                    <xdr:colOff>10886</xdr:colOff>
                    <xdr:row>482</xdr:row>
                    <xdr:rowOff>293914</xdr:rowOff>
                  </to>
                </anchor>
              </controlPr>
            </control>
          </mc:Choice>
        </mc:AlternateContent>
        <mc:AlternateContent xmlns:mc="http://schemas.openxmlformats.org/markup-compatibility/2006">
          <mc:Choice Requires="x14">
            <control shapeId="9661" r:id="rId172" name="Option Button 445">
              <controlPr defaultSize="0" autoFill="0" autoLine="0" autoPict="0">
                <anchor moveWithCells="1">
                  <from>
                    <xdr:col>8</xdr:col>
                    <xdr:colOff>201386</xdr:colOff>
                    <xdr:row>481</xdr:row>
                    <xdr:rowOff>141514</xdr:rowOff>
                  </from>
                  <to>
                    <xdr:col>10</xdr:col>
                    <xdr:colOff>179614</xdr:colOff>
                    <xdr:row>482</xdr:row>
                    <xdr:rowOff>293914</xdr:rowOff>
                  </to>
                </anchor>
              </controlPr>
            </control>
          </mc:Choice>
        </mc:AlternateContent>
        <mc:AlternateContent xmlns:mc="http://schemas.openxmlformats.org/markup-compatibility/2006">
          <mc:Choice Requires="x14">
            <control shapeId="9662" r:id="rId173" name="Option Button 446">
              <controlPr defaultSize="0" autoFill="0" autoLine="0" autoPict="0">
                <anchor moveWithCells="1">
                  <from>
                    <xdr:col>5</xdr:col>
                    <xdr:colOff>103414</xdr:colOff>
                    <xdr:row>483</xdr:row>
                    <xdr:rowOff>141514</xdr:rowOff>
                  </from>
                  <to>
                    <xdr:col>7</xdr:col>
                    <xdr:colOff>76200</xdr:colOff>
                    <xdr:row>484</xdr:row>
                    <xdr:rowOff>293914</xdr:rowOff>
                  </to>
                </anchor>
              </controlPr>
            </control>
          </mc:Choice>
        </mc:AlternateContent>
        <mc:AlternateContent xmlns:mc="http://schemas.openxmlformats.org/markup-compatibility/2006">
          <mc:Choice Requires="x14">
            <control shapeId="9663" r:id="rId174" name="Option Button 447">
              <controlPr defaultSize="0" autoFill="0" autoLine="0" autoPict="0">
                <anchor moveWithCells="1">
                  <from>
                    <xdr:col>7</xdr:col>
                    <xdr:colOff>38100</xdr:colOff>
                    <xdr:row>483</xdr:row>
                    <xdr:rowOff>141514</xdr:rowOff>
                  </from>
                  <to>
                    <xdr:col>9</xdr:col>
                    <xdr:colOff>10886</xdr:colOff>
                    <xdr:row>484</xdr:row>
                    <xdr:rowOff>293914</xdr:rowOff>
                  </to>
                </anchor>
              </controlPr>
            </control>
          </mc:Choice>
        </mc:AlternateContent>
        <mc:AlternateContent xmlns:mc="http://schemas.openxmlformats.org/markup-compatibility/2006">
          <mc:Choice Requires="x14">
            <control shapeId="9664" r:id="rId175" name="Option Button 448">
              <controlPr defaultSize="0" autoFill="0" autoLine="0" autoPict="0">
                <anchor moveWithCells="1">
                  <from>
                    <xdr:col>8</xdr:col>
                    <xdr:colOff>201386</xdr:colOff>
                    <xdr:row>483</xdr:row>
                    <xdr:rowOff>141514</xdr:rowOff>
                  </from>
                  <to>
                    <xdr:col>10</xdr:col>
                    <xdr:colOff>179614</xdr:colOff>
                    <xdr:row>484</xdr:row>
                    <xdr:rowOff>293914</xdr:rowOff>
                  </to>
                </anchor>
              </controlPr>
            </control>
          </mc:Choice>
        </mc:AlternateContent>
        <mc:AlternateContent xmlns:mc="http://schemas.openxmlformats.org/markup-compatibility/2006">
          <mc:Choice Requires="x14">
            <control shapeId="9665" r:id="rId176" name="Option Button 449">
              <controlPr defaultSize="0" autoFill="0" autoLine="0" autoPict="0">
                <anchor moveWithCells="1">
                  <from>
                    <xdr:col>5</xdr:col>
                    <xdr:colOff>103414</xdr:colOff>
                    <xdr:row>485</xdr:row>
                    <xdr:rowOff>141514</xdr:rowOff>
                  </from>
                  <to>
                    <xdr:col>7</xdr:col>
                    <xdr:colOff>76200</xdr:colOff>
                    <xdr:row>486</xdr:row>
                    <xdr:rowOff>293914</xdr:rowOff>
                  </to>
                </anchor>
              </controlPr>
            </control>
          </mc:Choice>
        </mc:AlternateContent>
        <mc:AlternateContent xmlns:mc="http://schemas.openxmlformats.org/markup-compatibility/2006">
          <mc:Choice Requires="x14">
            <control shapeId="9666" r:id="rId177" name="Option Button 450">
              <controlPr defaultSize="0" autoFill="0" autoLine="0" autoPict="0">
                <anchor moveWithCells="1">
                  <from>
                    <xdr:col>7</xdr:col>
                    <xdr:colOff>38100</xdr:colOff>
                    <xdr:row>485</xdr:row>
                    <xdr:rowOff>141514</xdr:rowOff>
                  </from>
                  <to>
                    <xdr:col>9</xdr:col>
                    <xdr:colOff>10886</xdr:colOff>
                    <xdr:row>486</xdr:row>
                    <xdr:rowOff>293914</xdr:rowOff>
                  </to>
                </anchor>
              </controlPr>
            </control>
          </mc:Choice>
        </mc:AlternateContent>
        <mc:AlternateContent xmlns:mc="http://schemas.openxmlformats.org/markup-compatibility/2006">
          <mc:Choice Requires="x14">
            <control shapeId="9667" r:id="rId178" name="Option Button 451">
              <controlPr defaultSize="0" autoFill="0" autoLine="0" autoPict="0">
                <anchor moveWithCells="1">
                  <from>
                    <xdr:col>8</xdr:col>
                    <xdr:colOff>201386</xdr:colOff>
                    <xdr:row>485</xdr:row>
                    <xdr:rowOff>141514</xdr:rowOff>
                  </from>
                  <to>
                    <xdr:col>10</xdr:col>
                    <xdr:colOff>179614</xdr:colOff>
                    <xdr:row>486</xdr:row>
                    <xdr:rowOff>293914</xdr:rowOff>
                  </to>
                </anchor>
              </controlPr>
            </control>
          </mc:Choice>
        </mc:AlternateContent>
        <mc:AlternateContent xmlns:mc="http://schemas.openxmlformats.org/markup-compatibility/2006">
          <mc:Choice Requires="x14">
            <control shapeId="9668" r:id="rId179" name="Option Button 452">
              <controlPr defaultSize="0" autoFill="0" autoLine="0" autoPict="0">
                <anchor moveWithCells="1">
                  <from>
                    <xdr:col>5</xdr:col>
                    <xdr:colOff>103414</xdr:colOff>
                    <xdr:row>487</xdr:row>
                    <xdr:rowOff>141514</xdr:rowOff>
                  </from>
                  <to>
                    <xdr:col>7</xdr:col>
                    <xdr:colOff>76200</xdr:colOff>
                    <xdr:row>488</xdr:row>
                    <xdr:rowOff>293914</xdr:rowOff>
                  </to>
                </anchor>
              </controlPr>
            </control>
          </mc:Choice>
        </mc:AlternateContent>
        <mc:AlternateContent xmlns:mc="http://schemas.openxmlformats.org/markup-compatibility/2006">
          <mc:Choice Requires="x14">
            <control shapeId="9669" r:id="rId180" name="Option Button 453">
              <controlPr defaultSize="0" autoFill="0" autoLine="0" autoPict="0">
                <anchor moveWithCells="1">
                  <from>
                    <xdr:col>7</xdr:col>
                    <xdr:colOff>38100</xdr:colOff>
                    <xdr:row>487</xdr:row>
                    <xdr:rowOff>141514</xdr:rowOff>
                  </from>
                  <to>
                    <xdr:col>9</xdr:col>
                    <xdr:colOff>10886</xdr:colOff>
                    <xdr:row>488</xdr:row>
                    <xdr:rowOff>293914</xdr:rowOff>
                  </to>
                </anchor>
              </controlPr>
            </control>
          </mc:Choice>
        </mc:AlternateContent>
        <mc:AlternateContent xmlns:mc="http://schemas.openxmlformats.org/markup-compatibility/2006">
          <mc:Choice Requires="x14">
            <control shapeId="9670" r:id="rId181" name="Option Button 454">
              <controlPr defaultSize="0" autoFill="0" autoLine="0" autoPict="0">
                <anchor moveWithCells="1">
                  <from>
                    <xdr:col>8</xdr:col>
                    <xdr:colOff>201386</xdr:colOff>
                    <xdr:row>487</xdr:row>
                    <xdr:rowOff>141514</xdr:rowOff>
                  </from>
                  <to>
                    <xdr:col>10</xdr:col>
                    <xdr:colOff>179614</xdr:colOff>
                    <xdr:row>488</xdr:row>
                    <xdr:rowOff>293914</xdr:rowOff>
                  </to>
                </anchor>
              </controlPr>
            </control>
          </mc:Choice>
        </mc:AlternateContent>
        <mc:AlternateContent xmlns:mc="http://schemas.openxmlformats.org/markup-compatibility/2006">
          <mc:Choice Requires="x14">
            <control shapeId="9671" r:id="rId182" name="Option Button 455">
              <controlPr defaultSize="0" autoFill="0" autoLine="0" autoPict="0">
                <anchor moveWithCells="1">
                  <from>
                    <xdr:col>5</xdr:col>
                    <xdr:colOff>103414</xdr:colOff>
                    <xdr:row>489</xdr:row>
                    <xdr:rowOff>141514</xdr:rowOff>
                  </from>
                  <to>
                    <xdr:col>7</xdr:col>
                    <xdr:colOff>76200</xdr:colOff>
                    <xdr:row>490</xdr:row>
                    <xdr:rowOff>293914</xdr:rowOff>
                  </to>
                </anchor>
              </controlPr>
            </control>
          </mc:Choice>
        </mc:AlternateContent>
        <mc:AlternateContent xmlns:mc="http://schemas.openxmlformats.org/markup-compatibility/2006">
          <mc:Choice Requires="x14">
            <control shapeId="9672" r:id="rId183" name="Option Button 456">
              <controlPr defaultSize="0" autoFill="0" autoLine="0" autoPict="0">
                <anchor moveWithCells="1">
                  <from>
                    <xdr:col>7</xdr:col>
                    <xdr:colOff>38100</xdr:colOff>
                    <xdr:row>489</xdr:row>
                    <xdr:rowOff>141514</xdr:rowOff>
                  </from>
                  <to>
                    <xdr:col>9</xdr:col>
                    <xdr:colOff>10886</xdr:colOff>
                    <xdr:row>490</xdr:row>
                    <xdr:rowOff>293914</xdr:rowOff>
                  </to>
                </anchor>
              </controlPr>
            </control>
          </mc:Choice>
        </mc:AlternateContent>
        <mc:AlternateContent xmlns:mc="http://schemas.openxmlformats.org/markup-compatibility/2006">
          <mc:Choice Requires="x14">
            <control shapeId="9673" r:id="rId184" name="Option Button 457">
              <controlPr defaultSize="0" autoFill="0" autoLine="0" autoPict="0">
                <anchor moveWithCells="1">
                  <from>
                    <xdr:col>8</xdr:col>
                    <xdr:colOff>201386</xdr:colOff>
                    <xdr:row>489</xdr:row>
                    <xdr:rowOff>141514</xdr:rowOff>
                  </from>
                  <to>
                    <xdr:col>10</xdr:col>
                    <xdr:colOff>179614</xdr:colOff>
                    <xdr:row>490</xdr:row>
                    <xdr:rowOff>293914</xdr:rowOff>
                  </to>
                </anchor>
              </controlPr>
            </control>
          </mc:Choice>
        </mc:AlternateContent>
        <mc:AlternateContent xmlns:mc="http://schemas.openxmlformats.org/markup-compatibility/2006">
          <mc:Choice Requires="x14">
            <control shapeId="9674" r:id="rId185" name="Option Button 458">
              <controlPr defaultSize="0" autoFill="0" autoLine="0" autoPict="0">
                <anchor moveWithCells="1">
                  <from>
                    <xdr:col>5</xdr:col>
                    <xdr:colOff>103414</xdr:colOff>
                    <xdr:row>491</xdr:row>
                    <xdr:rowOff>141514</xdr:rowOff>
                  </from>
                  <to>
                    <xdr:col>7</xdr:col>
                    <xdr:colOff>76200</xdr:colOff>
                    <xdr:row>492</xdr:row>
                    <xdr:rowOff>293914</xdr:rowOff>
                  </to>
                </anchor>
              </controlPr>
            </control>
          </mc:Choice>
        </mc:AlternateContent>
        <mc:AlternateContent xmlns:mc="http://schemas.openxmlformats.org/markup-compatibility/2006">
          <mc:Choice Requires="x14">
            <control shapeId="9675" r:id="rId186" name="Option Button 459">
              <controlPr defaultSize="0" autoFill="0" autoLine="0" autoPict="0">
                <anchor moveWithCells="1">
                  <from>
                    <xdr:col>7</xdr:col>
                    <xdr:colOff>38100</xdr:colOff>
                    <xdr:row>491</xdr:row>
                    <xdr:rowOff>141514</xdr:rowOff>
                  </from>
                  <to>
                    <xdr:col>9</xdr:col>
                    <xdr:colOff>10886</xdr:colOff>
                    <xdr:row>492</xdr:row>
                    <xdr:rowOff>293914</xdr:rowOff>
                  </to>
                </anchor>
              </controlPr>
            </control>
          </mc:Choice>
        </mc:AlternateContent>
        <mc:AlternateContent xmlns:mc="http://schemas.openxmlformats.org/markup-compatibility/2006">
          <mc:Choice Requires="x14">
            <control shapeId="9676" r:id="rId187" name="Option Button 460">
              <controlPr defaultSize="0" autoFill="0" autoLine="0" autoPict="0">
                <anchor moveWithCells="1">
                  <from>
                    <xdr:col>8</xdr:col>
                    <xdr:colOff>201386</xdr:colOff>
                    <xdr:row>491</xdr:row>
                    <xdr:rowOff>141514</xdr:rowOff>
                  </from>
                  <to>
                    <xdr:col>10</xdr:col>
                    <xdr:colOff>179614</xdr:colOff>
                    <xdr:row>492</xdr:row>
                    <xdr:rowOff>293914</xdr:rowOff>
                  </to>
                </anchor>
              </controlPr>
            </control>
          </mc:Choice>
        </mc:AlternateContent>
        <mc:AlternateContent xmlns:mc="http://schemas.openxmlformats.org/markup-compatibility/2006">
          <mc:Choice Requires="x14">
            <control shapeId="9677" r:id="rId188" name="Option Button 461">
              <controlPr defaultSize="0" autoFill="0" autoLine="0" autoPict="0">
                <anchor moveWithCells="1">
                  <from>
                    <xdr:col>5</xdr:col>
                    <xdr:colOff>103414</xdr:colOff>
                    <xdr:row>493</xdr:row>
                    <xdr:rowOff>141514</xdr:rowOff>
                  </from>
                  <to>
                    <xdr:col>7</xdr:col>
                    <xdr:colOff>76200</xdr:colOff>
                    <xdr:row>494</xdr:row>
                    <xdr:rowOff>293914</xdr:rowOff>
                  </to>
                </anchor>
              </controlPr>
            </control>
          </mc:Choice>
        </mc:AlternateContent>
        <mc:AlternateContent xmlns:mc="http://schemas.openxmlformats.org/markup-compatibility/2006">
          <mc:Choice Requires="x14">
            <control shapeId="9678" r:id="rId189" name="Option Button 462">
              <controlPr defaultSize="0" autoFill="0" autoLine="0" autoPict="0">
                <anchor moveWithCells="1">
                  <from>
                    <xdr:col>7</xdr:col>
                    <xdr:colOff>38100</xdr:colOff>
                    <xdr:row>493</xdr:row>
                    <xdr:rowOff>141514</xdr:rowOff>
                  </from>
                  <to>
                    <xdr:col>9</xdr:col>
                    <xdr:colOff>10886</xdr:colOff>
                    <xdr:row>494</xdr:row>
                    <xdr:rowOff>293914</xdr:rowOff>
                  </to>
                </anchor>
              </controlPr>
            </control>
          </mc:Choice>
        </mc:AlternateContent>
        <mc:AlternateContent xmlns:mc="http://schemas.openxmlformats.org/markup-compatibility/2006">
          <mc:Choice Requires="x14">
            <control shapeId="9679" r:id="rId190" name="Option Button 463">
              <controlPr defaultSize="0" autoFill="0" autoLine="0" autoPict="0">
                <anchor moveWithCells="1">
                  <from>
                    <xdr:col>8</xdr:col>
                    <xdr:colOff>201386</xdr:colOff>
                    <xdr:row>493</xdr:row>
                    <xdr:rowOff>141514</xdr:rowOff>
                  </from>
                  <to>
                    <xdr:col>10</xdr:col>
                    <xdr:colOff>179614</xdr:colOff>
                    <xdr:row>494</xdr:row>
                    <xdr:rowOff>293914</xdr:rowOff>
                  </to>
                </anchor>
              </controlPr>
            </control>
          </mc:Choice>
        </mc:AlternateContent>
        <mc:AlternateContent xmlns:mc="http://schemas.openxmlformats.org/markup-compatibility/2006">
          <mc:Choice Requires="x14">
            <control shapeId="9681" r:id="rId191" name="Group Box 465">
              <controlPr defaultSize="0" autoFill="0" autoPict="0">
                <anchor moveWithCells="1">
                  <from>
                    <xdr:col>5</xdr:col>
                    <xdr:colOff>10886</xdr:colOff>
                    <xdr:row>481</xdr:row>
                    <xdr:rowOff>48986</xdr:rowOff>
                  </from>
                  <to>
                    <xdr:col>10</xdr:col>
                    <xdr:colOff>217714</xdr:colOff>
                    <xdr:row>482</xdr:row>
                    <xdr:rowOff>332014</xdr:rowOff>
                  </to>
                </anchor>
              </controlPr>
            </control>
          </mc:Choice>
        </mc:AlternateContent>
        <mc:AlternateContent xmlns:mc="http://schemas.openxmlformats.org/markup-compatibility/2006">
          <mc:Choice Requires="x14">
            <control shapeId="9682" r:id="rId192" name="Group Box 466">
              <controlPr defaultSize="0" autoFill="0" autoPict="0">
                <anchor moveWithCells="1">
                  <from>
                    <xdr:col>5</xdr:col>
                    <xdr:colOff>10886</xdr:colOff>
                    <xdr:row>483</xdr:row>
                    <xdr:rowOff>10886</xdr:rowOff>
                  </from>
                  <to>
                    <xdr:col>10</xdr:col>
                    <xdr:colOff>217714</xdr:colOff>
                    <xdr:row>484</xdr:row>
                    <xdr:rowOff>332014</xdr:rowOff>
                  </to>
                </anchor>
              </controlPr>
            </control>
          </mc:Choice>
        </mc:AlternateContent>
        <mc:AlternateContent xmlns:mc="http://schemas.openxmlformats.org/markup-compatibility/2006">
          <mc:Choice Requires="x14">
            <control shapeId="9683" r:id="rId193" name="Group Box 467">
              <controlPr defaultSize="0" autoFill="0" autoPict="0">
                <anchor moveWithCells="1">
                  <from>
                    <xdr:col>5</xdr:col>
                    <xdr:colOff>0</xdr:colOff>
                    <xdr:row>485</xdr:row>
                    <xdr:rowOff>0</xdr:rowOff>
                  </from>
                  <to>
                    <xdr:col>11</xdr:col>
                    <xdr:colOff>0</xdr:colOff>
                    <xdr:row>486</xdr:row>
                    <xdr:rowOff>370114</xdr:rowOff>
                  </to>
                </anchor>
              </controlPr>
            </control>
          </mc:Choice>
        </mc:AlternateContent>
        <mc:AlternateContent xmlns:mc="http://schemas.openxmlformats.org/markup-compatibility/2006">
          <mc:Choice Requires="x14">
            <control shapeId="9684" r:id="rId194" name="Group Box 468">
              <controlPr defaultSize="0" autoFill="0" autoPict="0">
                <anchor moveWithCells="1">
                  <from>
                    <xdr:col>5</xdr:col>
                    <xdr:colOff>0</xdr:colOff>
                    <xdr:row>487</xdr:row>
                    <xdr:rowOff>10886</xdr:rowOff>
                  </from>
                  <to>
                    <xdr:col>11</xdr:col>
                    <xdr:colOff>0</xdr:colOff>
                    <xdr:row>488</xdr:row>
                    <xdr:rowOff>353786</xdr:rowOff>
                  </to>
                </anchor>
              </controlPr>
            </control>
          </mc:Choice>
        </mc:AlternateContent>
        <mc:AlternateContent xmlns:mc="http://schemas.openxmlformats.org/markup-compatibility/2006">
          <mc:Choice Requires="x14">
            <control shapeId="9685" r:id="rId195" name="Group Box 469">
              <controlPr defaultSize="0" autoFill="0" autoPict="0">
                <anchor moveWithCells="1">
                  <from>
                    <xdr:col>5</xdr:col>
                    <xdr:colOff>10886</xdr:colOff>
                    <xdr:row>489</xdr:row>
                    <xdr:rowOff>27214</xdr:rowOff>
                  </from>
                  <to>
                    <xdr:col>11</xdr:col>
                    <xdr:colOff>0</xdr:colOff>
                    <xdr:row>490</xdr:row>
                    <xdr:rowOff>353786</xdr:rowOff>
                  </to>
                </anchor>
              </controlPr>
            </control>
          </mc:Choice>
        </mc:AlternateContent>
        <mc:AlternateContent xmlns:mc="http://schemas.openxmlformats.org/markup-compatibility/2006">
          <mc:Choice Requires="x14">
            <control shapeId="9686" r:id="rId196" name="Group Box 470">
              <controlPr defaultSize="0" autoFill="0" autoPict="0">
                <anchor moveWithCells="1">
                  <from>
                    <xdr:col>5</xdr:col>
                    <xdr:colOff>10886</xdr:colOff>
                    <xdr:row>491</xdr:row>
                    <xdr:rowOff>0</xdr:rowOff>
                  </from>
                  <to>
                    <xdr:col>10</xdr:col>
                    <xdr:colOff>217714</xdr:colOff>
                    <xdr:row>492</xdr:row>
                    <xdr:rowOff>381000</xdr:rowOff>
                  </to>
                </anchor>
              </controlPr>
            </control>
          </mc:Choice>
        </mc:AlternateContent>
        <mc:AlternateContent xmlns:mc="http://schemas.openxmlformats.org/markup-compatibility/2006">
          <mc:Choice Requires="x14">
            <control shapeId="9687" r:id="rId197" name="Group Box 471">
              <controlPr defaultSize="0" autoFill="0" autoPict="0">
                <anchor moveWithCells="1">
                  <from>
                    <xdr:col>5</xdr:col>
                    <xdr:colOff>10886</xdr:colOff>
                    <xdr:row>493</xdr:row>
                    <xdr:rowOff>0</xdr:rowOff>
                  </from>
                  <to>
                    <xdr:col>10</xdr:col>
                    <xdr:colOff>201386</xdr:colOff>
                    <xdr:row>494</xdr:row>
                    <xdr:rowOff>391886</xdr:rowOff>
                  </to>
                </anchor>
              </controlPr>
            </control>
          </mc:Choice>
        </mc:AlternateContent>
        <mc:AlternateContent xmlns:mc="http://schemas.openxmlformats.org/markup-compatibility/2006">
          <mc:Choice Requires="x14">
            <control shapeId="9688" r:id="rId198" name="Group Box 472">
              <controlPr defaultSize="0" autoFill="0" autoPict="0">
                <anchor moveWithCells="1">
                  <from>
                    <xdr:col>5</xdr:col>
                    <xdr:colOff>10886</xdr:colOff>
                    <xdr:row>160</xdr:row>
                    <xdr:rowOff>419100</xdr:rowOff>
                  </from>
                  <to>
                    <xdr:col>10</xdr:col>
                    <xdr:colOff>201386</xdr:colOff>
                    <xdr:row>163</xdr:row>
                    <xdr:rowOff>114300</xdr:rowOff>
                  </to>
                </anchor>
              </controlPr>
            </control>
          </mc:Choice>
        </mc:AlternateContent>
        <mc:AlternateContent xmlns:mc="http://schemas.openxmlformats.org/markup-compatibility/2006">
          <mc:Choice Requires="x14">
            <control shapeId="9689" r:id="rId199" name="Group Box 473">
              <controlPr defaultSize="0" autoFill="0" autoPict="0">
                <anchor moveWithCells="1">
                  <from>
                    <xdr:col>5</xdr:col>
                    <xdr:colOff>38100</xdr:colOff>
                    <xdr:row>232</xdr:row>
                    <xdr:rowOff>27214</xdr:rowOff>
                  </from>
                  <to>
                    <xdr:col>10</xdr:col>
                    <xdr:colOff>217714</xdr:colOff>
                    <xdr:row>235</xdr:row>
                    <xdr:rowOff>0</xdr:rowOff>
                  </to>
                </anchor>
              </controlPr>
            </control>
          </mc:Choice>
        </mc:AlternateContent>
        <mc:AlternateContent xmlns:mc="http://schemas.openxmlformats.org/markup-compatibility/2006">
          <mc:Choice Requires="x14">
            <control shapeId="9692" r:id="rId200" name="Group Box 476">
              <controlPr defaultSize="0" autoFill="0" autoPict="0">
                <anchor moveWithCells="1">
                  <from>
                    <xdr:col>5</xdr:col>
                    <xdr:colOff>10886</xdr:colOff>
                    <xdr:row>479</xdr:row>
                    <xdr:rowOff>10886</xdr:rowOff>
                  </from>
                  <to>
                    <xdr:col>10</xdr:col>
                    <xdr:colOff>217714</xdr:colOff>
                    <xdr:row>480</xdr:row>
                    <xdr:rowOff>228600</xdr:rowOff>
                  </to>
                </anchor>
              </controlPr>
            </control>
          </mc:Choice>
        </mc:AlternateContent>
        <mc:AlternateContent xmlns:mc="http://schemas.openxmlformats.org/markup-compatibility/2006">
          <mc:Choice Requires="x14">
            <control shapeId="9696" r:id="rId201" name="Option Button 480">
              <controlPr defaultSize="0" autoFill="0" autoLine="0" autoPict="0">
                <anchor moveWithCells="1">
                  <from>
                    <xdr:col>3</xdr:col>
                    <xdr:colOff>76200</xdr:colOff>
                    <xdr:row>527</xdr:row>
                    <xdr:rowOff>38100</xdr:rowOff>
                  </from>
                  <to>
                    <xdr:col>9</xdr:col>
                    <xdr:colOff>201386</xdr:colOff>
                    <xdr:row>528</xdr:row>
                    <xdr:rowOff>255814</xdr:rowOff>
                  </to>
                </anchor>
              </controlPr>
            </control>
          </mc:Choice>
        </mc:AlternateContent>
        <mc:AlternateContent xmlns:mc="http://schemas.openxmlformats.org/markup-compatibility/2006">
          <mc:Choice Requires="x14">
            <control shapeId="9697" r:id="rId202" name="Option Button 481">
              <controlPr defaultSize="0" autoFill="0" autoLine="0" autoPict="0">
                <anchor moveWithCells="1">
                  <from>
                    <xdr:col>3</xdr:col>
                    <xdr:colOff>65314</xdr:colOff>
                    <xdr:row>529</xdr:row>
                    <xdr:rowOff>38100</xdr:rowOff>
                  </from>
                  <to>
                    <xdr:col>9</xdr:col>
                    <xdr:colOff>190500</xdr:colOff>
                    <xdr:row>531</xdr:row>
                    <xdr:rowOff>27214</xdr:rowOff>
                  </to>
                </anchor>
              </controlPr>
            </control>
          </mc:Choice>
        </mc:AlternateContent>
        <mc:AlternateContent xmlns:mc="http://schemas.openxmlformats.org/markup-compatibility/2006">
          <mc:Choice Requires="x14">
            <control shapeId="9698" r:id="rId203" name="Option Button 482">
              <controlPr defaultSize="0" autoFill="0" autoLine="0" autoPict="0">
                <anchor moveWithCells="1">
                  <from>
                    <xdr:col>3</xdr:col>
                    <xdr:colOff>87086</xdr:colOff>
                    <xdr:row>531</xdr:row>
                    <xdr:rowOff>48986</xdr:rowOff>
                  </from>
                  <to>
                    <xdr:col>9</xdr:col>
                    <xdr:colOff>201386</xdr:colOff>
                    <xdr:row>532</xdr:row>
                    <xdr:rowOff>255814</xdr:rowOff>
                  </to>
                </anchor>
              </controlPr>
            </control>
          </mc:Choice>
        </mc:AlternateContent>
        <mc:AlternateContent xmlns:mc="http://schemas.openxmlformats.org/markup-compatibility/2006">
          <mc:Choice Requires="x14">
            <control shapeId="9699" r:id="rId204" name="Option Button 483">
              <controlPr defaultSize="0" autoFill="0" autoLine="0" autoPict="0">
                <anchor moveWithCells="1">
                  <from>
                    <xdr:col>3</xdr:col>
                    <xdr:colOff>76200</xdr:colOff>
                    <xdr:row>533</xdr:row>
                    <xdr:rowOff>48986</xdr:rowOff>
                  </from>
                  <to>
                    <xdr:col>9</xdr:col>
                    <xdr:colOff>190500</xdr:colOff>
                    <xdr:row>535</xdr:row>
                    <xdr:rowOff>38100</xdr:rowOff>
                  </to>
                </anchor>
              </controlPr>
            </control>
          </mc:Choice>
        </mc:AlternateContent>
        <mc:AlternateContent xmlns:mc="http://schemas.openxmlformats.org/markup-compatibility/2006">
          <mc:Choice Requires="x14">
            <control shapeId="9700" r:id="rId205" name="Option Button 484">
              <controlPr defaultSize="0" autoFill="0" autoLine="0" autoPict="0">
                <anchor moveWithCells="1">
                  <from>
                    <xdr:col>3</xdr:col>
                    <xdr:colOff>76200</xdr:colOff>
                    <xdr:row>535</xdr:row>
                    <xdr:rowOff>48986</xdr:rowOff>
                  </from>
                  <to>
                    <xdr:col>9</xdr:col>
                    <xdr:colOff>152400</xdr:colOff>
                    <xdr:row>536</xdr:row>
                    <xdr:rowOff>266700</xdr:rowOff>
                  </to>
                </anchor>
              </controlPr>
            </control>
          </mc:Choice>
        </mc:AlternateContent>
        <mc:AlternateContent xmlns:mc="http://schemas.openxmlformats.org/markup-compatibility/2006">
          <mc:Choice Requires="x14">
            <control shapeId="9701" r:id="rId206" name="Option Button 485">
              <controlPr defaultSize="0" autoFill="0" autoLine="0" autoPict="0">
                <anchor moveWithCells="1">
                  <from>
                    <xdr:col>3</xdr:col>
                    <xdr:colOff>76200</xdr:colOff>
                    <xdr:row>543</xdr:row>
                    <xdr:rowOff>48986</xdr:rowOff>
                  </from>
                  <to>
                    <xdr:col>9</xdr:col>
                    <xdr:colOff>201386</xdr:colOff>
                    <xdr:row>544</xdr:row>
                    <xdr:rowOff>266700</xdr:rowOff>
                  </to>
                </anchor>
              </controlPr>
            </control>
          </mc:Choice>
        </mc:AlternateContent>
        <mc:AlternateContent xmlns:mc="http://schemas.openxmlformats.org/markup-compatibility/2006">
          <mc:Choice Requires="x14">
            <control shapeId="9702" r:id="rId207" name="Option Button 486">
              <controlPr defaultSize="0" autoFill="0" autoLine="0" autoPict="0">
                <anchor moveWithCells="1">
                  <from>
                    <xdr:col>3</xdr:col>
                    <xdr:colOff>76200</xdr:colOff>
                    <xdr:row>545</xdr:row>
                    <xdr:rowOff>65314</xdr:rowOff>
                  </from>
                  <to>
                    <xdr:col>9</xdr:col>
                    <xdr:colOff>201386</xdr:colOff>
                    <xdr:row>546</xdr:row>
                    <xdr:rowOff>277586</xdr:rowOff>
                  </to>
                </anchor>
              </controlPr>
            </control>
          </mc:Choice>
        </mc:AlternateContent>
        <mc:AlternateContent xmlns:mc="http://schemas.openxmlformats.org/markup-compatibility/2006">
          <mc:Choice Requires="x14">
            <control shapeId="9703" r:id="rId208" name="Option Button 487">
              <controlPr defaultSize="0" autoFill="0" autoLine="0" autoPict="0">
                <anchor moveWithCells="1">
                  <from>
                    <xdr:col>3</xdr:col>
                    <xdr:colOff>76200</xdr:colOff>
                    <xdr:row>547</xdr:row>
                    <xdr:rowOff>48986</xdr:rowOff>
                  </from>
                  <to>
                    <xdr:col>9</xdr:col>
                    <xdr:colOff>190500</xdr:colOff>
                    <xdr:row>549</xdr:row>
                    <xdr:rowOff>38100</xdr:rowOff>
                  </to>
                </anchor>
              </controlPr>
            </control>
          </mc:Choice>
        </mc:AlternateContent>
        <mc:AlternateContent xmlns:mc="http://schemas.openxmlformats.org/markup-compatibility/2006">
          <mc:Choice Requires="x14">
            <control shapeId="9704" r:id="rId209" name="Option Button 488">
              <controlPr defaultSize="0" autoFill="0" autoLine="0" autoPict="0">
                <anchor moveWithCells="1">
                  <from>
                    <xdr:col>3</xdr:col>
                    <xdr:colOff>65314</xdr:colOff>
                    <xdr:row>549</xdr:row>
                    <xdr:rowOff>48986</xdr:rowOff>
                  </from>
                  <to>
                    <xdr:col>9</xdr:col>
                    <xdr:colOff>179614</xdr:colOff>
                    <xdr:row>551</xdr:row>
                    <xdr:rowOff>38100</xdr:rowOff>
                  </to>
                </anchor>
              </controlPr>
            </control>
          </mc:Choice>
        </mc:AlternateContent>
        <mc:AlternateContent xmlns:mc="http://schemas.openxmlformats.org/markup-compatibility/2006">
          <mc:Choice Requires="x14">
            <control shapeId="9705" r:id="rId210" name="Option Button 489">
              <controlPr defaultSize="0" autoFill="0" autoLine="0" autoPict="0">
                <anchor moveWithCells="1">
                  <from>
                    <xdr:col>3</xdr:col>
                    <xdr:colOff>65314</xdr:colOff>
                    <xdr:row>551</xdr:row>
                    <xdr:rowOff>48986</xdr:rowOff>
                  </from>
                  <to>
                    <xdr:col>9</xdr:col>
                    <xdr:colOff>141514</xdr:colOff>
                    <xdr:row>553</xdr:row>
                    <xdr:rowOff>38100</xdr:rowOff>
                  </to>
                </anchor>
              </controlPr>
            </control>
          </mc:Choice>
        </mc:AlternateContent>
        <mc:AlternateContent xmlns:mc="http://schemas.openxmlformats.org/markup-compatibility/2006">
          <mc:Choice Requires="x14">
            <control shapeId="9706" r:id="rId211" name="Option Button 490">
              <controlPr defaultSize="0" autoFill="0" autoLine="0" autoPict="0">
                <anchor moveWithCells="1">
                  <from>
                    <xdr:col>3</xdr:col>
                    <xdr:colOff>76200</xdr:colOff>
                    <xdr:row>559</xdr:row>
                    <xdr:rowOff>48986</xdr:rowOff>
                  </from>
                  <to>
                    <xdr:col>9</xdr:col>
                    <xdr:colOff>201386</xdr:colOff>
                    <xdr:row>560</xdr:row>
                    <xdr:rowOff>266700</xdr:rowOff>
                  </to>
                </anchor>
              </controlPr>
            </control>
          </mc:Choice>
        </mc:AlternateContent>
        <mc:AlternateContent xmlns:mc="http://schemas.openxmlformats.org/markup-compatibility/2006">
          <mc:Choice Requires="x14">
            <control shapeId="9707" r:id="rId212" name="Option Button 491">
              <controlPr defaultSize="0" autoFill="0" autoLine="0" autoPict="0">
                <anchor moveWithCells="1">
                  <from>
                    <xdr:col>3</xdr:col>
                    <xdr:colOff>76200</xdr:colOff>
                    <xdr:row>561</xdr:row>
                    <xdr:rowOff>65314</xdr:rowOff>
                  </from>
                  <to>
                    <xdr:col>9</xdr:col>
                    <xdr:colOff>201386</xdr:colOff>
                    <xdr:row>562</xdr:row>
                    <xdr:rowOff>277586</xdr:rowOff>
                  </to>
                </anchor>
              </controlPr>
            </control>
          </mc:Choice>
        </mc:AlternateContent>
        <mc:AlternateContent xmlns:mc="http://schemas.openxmlformats.org/markup-compatibility/2006">
          <mc:Choice Requires="x14">
            <control shapeId="9708" r:id="rId213" name="Option Button 492">
              <controlPr defaultSize="0" autoFill="0" autoLine="0" autoPict="0">
                <anchor moveWithCells="1">
                  <from>
                    <xdr:col>3</xdr:col>
                    <xdr:colOff>76200</xdr:colOff>
                    <xdr:row>563</xdr:row>
                    <xdr:rowOff>48986</xdr:rowOff>
                  </from>
                  <to>
                    <xdr:col>9</xdr:col>
                    <xdr:colOff>190500</xdr:colOff>
                    <xdr:row>564</xdr:row>
                    <xdr:rowOff>255814</xdr:rowOff>
                  </to>
                </anchor>
              </controlPr>
            </control>
          </mc:Choice>
        </mc:AlternateContent>
        <mc:AlternateContent xmlns:mc="http://schemas.openxmlformats.org/markup-compatibility/2006">
          <mc:Choice Requires="x14">
            <control shapeId="9709" r:id="rId214" name="Option Button 493">
              <controlPr defaultSize="0" autoFill="0" autoLine="0" autoPict="0">
                <anchor moveWithCells="1">
                  <from>
                    <xdr:col>3</xdr:col>
                    <xdr:colOff>76200</xdr:colOff>
                    <xdr:row>565</xdr:row>
                    <xdr:rowOff>48986</xdr:rowOff>
                  </from>
                  <to>
                    <xdr:col>9</xdr:col>
                    <xdr:colOff>190500</xdr:colOff>
                    <xdr:row>567</xdr:row>
                    <xdr:rowOff>38100</xdr:rowOff>
                  </to>
                </anchor>
              </controlPr>
            </control>
          </mc:Choice>
        </mc:AlternateContent>
        <mc:AlternateContent xmlns:mc="http://schemas.openxmlformats.org/markup-compatibility/2006">
          <mc:Choice Requires="x14">
            <control shapeId="9710" r:id="rId215" name="Option Button 494">
              <controlPr defaultSize="0" autoFill="0" autoLine="0" autoPict="0">
                <anchor moveWithCells="1">
                  <from>
                    <xdr:col>3</xdr:col>
                    <xdr:colOff>65314</xdr:colOff>
                    <xdr:row>567</xdr:row>
                    <xdr:rowOff>48986</xdr:rowOff>
                  </from>
                  <to>
                    <xdr:col>9</xdr:col>
                    <xdr:colOff>141514</xdr:colOff>
                    <xdr:row>569</xdr:row>
                    <xdr:rowOff>38100</xdr:rowOff>
                  </to>
                </anchor>
              </controlPr>
            </control>
          </mc:Choice>
        </mc:AlternateContent>
        <mc:AlternateContent xmlns:mc="http://schemas.openxmlformats.org/markup-compatibility/2006">
          <mc:Choice Requires="x14">
            <control shapeId="9711" r:id="rId216" name="Option Button 495">
              <controlPr defaultSize="0" autoFill="0" autoLine="0" autoPict="0">
                <anchor moveWithCells="1">
                  <from>
                    <xdr:col>3</xdr:col>
                    <xdr:colOff>76200</xdr:colOff>
                    <xdr:row>575</xdr:row>
                    <xdr:rowOff>48986</xdr:rowOff>
                  </from>
                  <to>
                    <xdr:col>9</xdr:col>
                    <xdr:colOff>201386</xdr:colOff>
                    <xdr:row>576</xdr:row>
                    <xdr:rowOff>266700</xdr:rowOff>
                  </to>
                </anchor>
              </controlPr>
            </control>
          </mc:Choice>
        </mc:AlternateContent>
        <mc:AlternateContent xmlns:mc="http://schemas.openxmlformats.org/markup-compatibility/2006">
          <mc:Choice Requires="x14">
            <control shapeId="9712" r:id="rId217" name="Option Button 496">
              <controlPr defaultSize="0" autoFill="0" autoLine="0" autoPict="0">
                <anchor moveWithCells="1">
                  <from>
                    <xdr:col>3</xdr:col>
                    <xdr:colOff>76200</xdr:colOff>
                    <xdr:row>577</xdr:row>
                    <xdr:rowOff>65314</xdr:rowOff>
                  </from>
                  <to>
                    <xdr:col>9</xdr:col>
                    <xdr:colOff>201386</xdr:colOff>
                    <xdr:row>578</xdr:row>
                    <xdr:rowOff>277586</xdr:rowOff>
                  </to>
                </anchor>
              </controlPr>
            </control>
          </mc:Choice>
        </mc:AlternateContent>
        <mc:AlternateContent xmlns:mc="http://schemas.openxmlformats.org/markup-compatibility/2006">
          <mc:Choice Requires="x14">
            <control shapeId="9713" r:id="rId218" name="Option Button 497">
              <controlPr defaultSize="0" autoFill="0" autoLine="0" autoPict="0">
                <anchor moveWithCells="1">
                  <from>
                    <xdr:col>3</xdr:col>
                    <xdr:colOff>76200</xdr:colOff>
                    <xdr:row>579</xdr:row>
                    <xdr:rowOff>48986</xdr:rowOff>
                  </from>
                  <to>
                    <xdr:col>9</xdr:col>
                    <xdr:colOff>190500</xdr:colOff>
                    <xdr:row>580</xdr:row>
                    <xdr:rowOff>255814</xdr:rowOff>
                  </to>
                </anchor>
              </controlPr>
            </control>
          </mc:Choice>
        </mc:AlternateContent>
        <mc:AlternateContent xmlns:mc="http://schemas.openxmlformats.org/markup-compatibility/2006">
          <mc:Choice Requires="x14">
            <control shapeId="9714" r:id="rId219" name="Option Button 498">
              <controlPr defaultSize="0" autoFill="0" autoLine="0" autoPict="0">
                <anchor moveWithCells="1">
                  <from>
                    <xdr:col>3</xdr:col>
                    <xdr:colOff>76200</xdr:colOff>
                    <xdr:row>582</xdr:row>
                    <xdr:rowOff>38100</xdr:rowOff>
                  </from>
                  <to>
                    <xdr:col>9</xdr:col>
                    <xdr:colOff>190500</xdr:colOff>
                    <xdr:row>583</xdr:row>
                    <xdr:rowOff>255814</xdr:rowOff>
                  </to>
                </anchor>
              </controlPr>
            </control>
          </mc:Choice>
        </mc:AlternateContent>
        <mc:AlternateContent xmlns:mc="http://schemas.openxmlformats.org/markup-compatibility/2006">
          <mc:Choice Requires="x14">
            <control shapeId="9715" r:id="rId220" name="Option Button 499">
              <controlPr defaultSize="0" autoFill="0" autoLine="0" autoPict="0">
                <anchor moveWithCells="1">
                  <from>
                    <xdr:col>3</xdr:col>
                    <xdr:colOff>76200</xdr:colOff>
                    <xdr:row>584</xdr:row>
                    <xdr:rowOff>38100</xdr:rowOff>
                  </from>
                  <to>
                    <xdr:col>9</xdr:col>
                    <xdr:colOff>152400</xdr:colOff>
                    <xdr:row>586</xdr:row>
                    <xdr:rowOff>27214</xdr:rowOff>
                  </to>
                </anchor>
              </controlPr>
            </control>
          </mc:Choice>
        </mc:AlternateContent>
        <mc:AlternateContent xmlns:mc="http://schemas.openxmlformats.org/markup-compatibility/2006">
          <mc:Choice Requires="x14">
            <control shapeId="9716" r:id="rId221" name="Option Button 500">
              <controlPr defaultSize="0" autoFill="0" autoLine="0" autoPict="0">
                <anchor moveWithCells="1">
                  <from>
                    <xdr:col>3</xdr:col>
                    <xdr:colOff>76200</xdr:colOff>
                    <xdr:row>592</xdr:row>
                    <xdr:rowOff>48986</xdr:rowOff>
                  </from>
                  <to>
                    <xdr:col>9</xdr:col>
                    <xdr:colOff>201386</xdr:colOff>
                    <xdr:row>593</xdr:row>
                    <xdr:rowOff>266700</xdr:rowOff>
                  </to>
                </anchor>
              </controlPr>
            </control>
          </mc:Choice>
        </mc:AlternateContent>
        <mc:AlternateContent xmlns:mc="http://schemas.openxmlformats.org/markup-compatibility/2006">
          <mc:Choice Requires="x14">
            <control shapeId="9717" r:id="rId222" name="Option Button 501">
              <controlPr defaultSize="0" autoFill="0" autoLine="0" autoPict="0">
                <anchor moveWithCells="1">
                  <from>
                    <xdr:col>3</xdr:col>
                    <xdr:colOff>76200</xdr:colOff>
                    <xdr:row>594</xdr:row>
                    <xdr:rowOff>65314</xdr:rowOff>
                  </from>
                  <to>
                    <xdr:col>9</xdr:col>
                    <xdr:colOff>201386</xdr:colOff>
                    <xdr:row>595</xdr:row>
                    <xdr:rowOff>277586</xdr:rowOff>
                  </to>
                </anchor>
              </controlPr>
            </control>
          </mc:Choice>
        </mc:AlternateContent>
        <mc:AlternateContent xmlns:mc="http://schemas.openxmlformats.org/markup-compatibility/2006">
          <mc:Choice Requires="x14">
            <control shapeId="9718" r:id="rId223" name="Option Button 502">
              <controlPr defaultSize="0" autoFill="0" autoLine="0" autoPict="0">
                <anchor moveWithCells="1">
                  <from>
                    <xdr:col>3</xdr:col>
                    <xdr:colOff>76200</xdr:colOff>
                    <xdr:row>596</xdr:row>
                    <xdr:rowOff>48986</xdr:rowOff>
                  </from>
                  <to>
                    <xdr:col>9</xdr:col>
                    <xdr:colOff>190500</xdr:colOff>
                    <xdr:row>597</xdr:row>
                    <xdr:rowOff>255814</xdr:rowOff>
                  </to>
                </anchor>
              </controlPr>
            </control>
          </mc:Choice>
        </mc:AlternateContent>
        <mc:AlternateContent xmlns:mc="http://schemas.openxmlformats.org/markup-compatibility/2006">
          <mc:Choice Requires="x14">
            <control shapeId="9719" r:id="rId224" name="Option Button 503">
              <controlPr defaultSize="0" autoFill="0" autoLine="0" autoPict="0">
                <anchor moveWithCells="1">
                  <from>
                    <xdr:col>3</xdr:col>
                    <xdr:colOff>76200</xdr:colOff>
                    <xdr:row>598</xdr:row>
                    <xdr:rowOff>48986</xdr:rowOff>
                  </from>
                  <to>
                    <xdr:col>9</xdr:col>
                    <xdr:colOff>190500</xdr:colOff>
                    <xdr:row>599</xdr:row>
                    <xdr:rowOff>266700</xdr:rowOff>
                  </to>
                </anchor>
              </controlPr>
            </control>
          </mc:Choice>
        </mc:AlternateContent>
        <mc:AlternateContent xmlns:mc="http://schemas.openxmlformats.org/markup-compatibility/2006">
          <mc:Choice Requires="x14">
            <control shapeId="9720" r:id="rId225" name="Option Button 504">
              <controlPr defaultSize="0" autoFill="0" autoLine="0" autoPict="0">
                <anchor moveWithCells="1">
                  <from>
                    <xdr:col>3</xdr:col>
                    <xdr:colOff>65314</xdr:colOff>
                    <xdr:row>600</xdr:row>
                    <xdr:rowOff>48986</xdr:rowOff>
                  </from>
                  <to>
                    <xdr:col>9</xdr:col>
                    <xdr:colOff>141514</xdr:colOff>
                    <xdr:row>602</xdr:row>
                    <xdr:rowOff>38100</xdr:rowOff>
                  </to>
                </anchor>
              </controlPr>
            </control>
          </mc:Choice>
        </mc:AlternateContent>
        <mc:AlternateContent xmlns:mc="http://schemas.openxmlformats.org/markup-compatibility/2006">
          <mc:Choice Requires="x14">
            <control shapeId="9721" r:id="rId226" name="Option Button 505">
              <controlPr defaultSize="0" autoFill="0" autoLine="0" autoPict="0">
                <anchor moveWithCells="1">
                  <from>
                    <xdr:col>3</xdr:col>
                    <xdr:colOff>76200</xdr:colOff>
                    <xdr:row>389</xdr:row>
                    <xdr:rowOff>48986</xdr:rowOff>
                  </from>
                  <to>
                    <xdr:col>9</xdr:col>
                    <xdr:colOff>201386</xdr:colOff>
                    <xdr:row>390</xdr:row>
                    <xdr:rowOff>266700</xdr:rowOff>
                  </to>
                </anchor>
              </controlPr>
            </control>
          </mc:Choice>
        </mc:AlternateContent>
        <mc:AlternateContent xmlns:mc="http://schemas.openxmlformats.org/markup-compatibility/2006">
          <mc:Choice Requires="x14">
            <control shapeId="9722" r:id="rId227" name="Option Button 506">
              <controlPr defaultSize="0" autoFill="0" autoLine="0" autoPict="0">
                <anchor moveWithCells="1">
                  <from>
                    <xdr:col>3</xdr:col>
                    <xdr:colOff>76200</xdr:colOff>
                    <xdr:row>391</xdr:row>
                    <xdr:rowOff>38100</xdr:rowOff>
                  </from>
                  <to>
                    <xdr:col>9</xdr:col>
                    <xdr:colOff>201386</xdr:colOff>
                    <xdr:row>392</xdr:row>
                    <xdr:rowOff>255814</xdr:rowOff>
                  </to>
                </anchor>
              </controlPr>
            </control>
          </mc:Choice>
        </mc:AlternateContent>
        <mc:AlternateContent xmlns:mc="http://schemas.openxmlformats.org/markup-compatibility/2006">
          <mc:Choice Requires="x14">
            <control shapeId="9723" r:id="rId228" name="Option Button 507">
              <controlPr defaultSize="0" autoFill="0" autoLine="0" autoPict="0">
                <anchor moveWithCells="1">
                  <from>
                    <xdr:col>3</xdr:col>
                    <xdr:colOff>76200</xdr:colOff>
                    <xdr:row>393</xdr:row>
                    <xdr:rowOff>48986</xdr:rowOff>
                  </from>
                  <to>
                    <xdr:col>9</xdr:col>
                    <xdr:colOff>190500</xdr:colOff>
                    <xdr:row>395</xdr:row>
                    <xdr:rowOff>38100</xdr:rowOff>
                  </to>
                </anchor>
              </controlPr>
            </control>
          </mc:Choice>
        </mc:AlternateContent>
        <mc:AlternateContent xmlns:mc="http://schemas.openxmlformats.org/markup-compatibility/2006">
          <mc:Choice Requires="x14">
            <control shapeId="9724" r:id="rId229" name="Option Button 508">
              <controlPr defaultSize="0" autoFill="0" autoLine="0" autoPict="0">
                <anchor moveWithCells="1">
                  <from>
                    <xdr:col>3</xdr:col>
                    <xdr:colOff>65314</xdr:colOff>
                    <xdr:row>395</xdr:row>
                    <xdr:rowOff>38100</xdr:rowOff>
                  </from>
                  <to>
                    <xdr:col>9</xdr:col>
                    <xdr:colOff>179614</xdr:colOff>
                    <xdr:row>396</xdr:row>
                    <xdr:rowOff>255814</xdr:rowOff>
                  </to>
                </anchor>
              </controlPr>
            </control>
          </mc:Choice>
        </mc:AlternateContent>
        <mc:AlternateContent xmlns:mc="http://schemas.openxmlformats.org/markup-compatibility/2006">
          <mc:Choice Requires="x14">
            <control shapeId="9725" r:id="rId230" name="Option Button 509">
              <controlPr defaultSize="0" autoFill="0" autoLine="0" autoPict="0">
                <anchor moveWithCells="1">
                  <from>
                    <xdr:col>3</xdr:col>
                    <xdr:colOff>65314</xdr:colOff>
                    <xdr:row>397</xdr:row>
                    <xdr:rowOff>38100</xdr:rowOff>
                  </from>
                  <to>
                    <xdr:col>9</xdr:col>
                    <xdr:colOff>141514</xdr:colOff>
                    <xdr:row>398</xdr:row>
                    <xdr:rowOff>255814</xdr:rowOff>
                  </to>
                </anchor>
              </controlPr>
            </control>
          </mc:Choice>
        </mc:AlternateContent>
        <mc:AlternateContent xmlns:mc="http://schemas.openxmlformats.org/markup-compatibility/2006">
          <mc:Choice Requires="x14">
            <control shapeId="9726" r:id="rId231" name="Option Button 510">
              <controlPr defaultSize="0" autoFill="0" autoLine="0" autoPict="0">
                <anchor moveWithCells="1">
                  <from>
                    <xdr:col>3</xdr:col>
                    <xdr:colOff>76200</xdr:colOff>
                    <xdr:row>688</xdr:row>
                    <xdr:rowOff>48986</xdr:rowOff>
                  </from>
                  <to>
                    <xdr:col>9</xdr:col>
                    <xdr:colOff>201386</xdr:colOff>
                    <xdr:row>690</xdr:row>
                    <xdr:rowOff>38100</xdr:rowOff>
                  </to>
                </anchor>
              </controlPr>
            </control>
          </mc:Choice>
        </mc:AlternateContent>
        <mc:AlternateContent xmlns:mc="http://schemas.openxmlformats.org/markup-compatibility/2006">
          <mc:Choice Requires="x14">
            <control shapeId="9727" r:id="rId232" name="Option Button 511">
              <controlPr defaultSize="0" autoFill="0" autoLine="0" autoPict="0">
                <anchor moveWithCells="1">
                  <from>
                    <xdr:col>3</xdr:col>
                    <xdr:colOff>76200</xdr:colOff>
                    <xdr:row>690</xdr:row>
                    <xdr:rowOff>48986</xdr:rowOff>
                  </from>
                  <to>
                    <xdr:col>9</xdr:col>
                    <xdr:colOff>201386</xdr:colOff>
                    <xdr:row>691</xdr:row>
                    <xdr:rowOff>266700</xdr:rowOff>
                  </to>
                </anchor>
              </controlPr>
            </control>
          </mc:Choice>
        </mc:AlternateContent>
        <mc:AlternateContent xmlns:mc="http://schemas.openxmlformats.org/markup-compatibility/2006">
          <mc:Choice Requires="x14">
            <control shapeId="9728" r:id="rId233" name="Option Button 512">
              <controlPr defaultSize="0" autoFill="0" autoLine="0" autoPict="0">
                <anchor moveWithCells="1">
                  <from>
                    <xdr:col>3</xdr:col>
                    <xdr:colOff>76200</xdr:colOff>
                    <xdr:row>692</xdr:row>
                    <xdr:rowOff>48986</xdr:rowOff>
                  </from>
                  <to>
                    <xdr:col>9</xdr:col>
                    <xdr:colOff>190500</xdr:colOff>
                    <xdr:row>693</xdr:row>
                    <xdr:rowOff>255814</xdr:rowOff>
                  </to>
                </anchor>
              </controlPr>
            </control>
          </mc:Choice>
        </mc:AlternateContent>
        <mc:AlternateContent xmlns:mc="http://schemas.openxmlformats.org/markup-compatibility/2006">
          <mc:Choice Requires="x14">
            <control shapeId="9729" r:id="rId234" name="Option Button 513">
              <controlPr defaultSize="0" autoFill="0" autoLine="0" autoPict="0">
                <anchor moveWithCells="1">
                  <from>
                    <xdr:col>3</xdr:col>
                    <xdr:colOff>76200</xdr:colOff>
                    <xdr:row>694</xdr:row>
                    <xdr:rowOff>48986</xdr:rowOff>
                  </from>
                  <to>
                    <xdr:col>9</xdr:col>
                    <xdr:colOff>190500</xdr:colOff>
                    <xdr:row>695</xdr:row>
                    <xdr:rowOff>266700</xdr:rowOff>
                  </to>
                </anchor>
              </controlPr>
            </control>
          </mc:Choice>
        </mc:AlternateContent>
        <mc:AlternateContent xmlns:mc="http://schemas.openxmlformats.org/markup-compatibility/2006">
          <mc:Choice Requires="x14">
            <control shapeId="9730" r:id="rId235" name="Option Button 514">
              <controlPr defaultSize="0" autoFill="0" autoLine="0" autoPict="0">
                <anchor moveWithCells="1">
                  <from>
                    <xdr:col>3</xdr:col>
                    <xdr:colOff>65314</xdr:colOff>
                    <xdr:row>696</xdr:row>
                    <xdr:rowOff>48986</xdr:rowOff>
                  </from>
                  <to>
                    <xdr:col>9</xdr:col>
                    <xdr:colOff>141514</xdr:colOff>
                    <xdr:row>697</xdr:row>
                    <xdr:rowOff>266700</xdr:rowOff>
                  </to>
                </anchor>
              </controlPr>
            </control>
          </mc:Choice>
        </mc:AlternateContent>
        <mc:AlternateContent xmlns:mc="http://schemas.openxmlformats.org/markup-compatibility/2006">
          <mc:Choice Requires="x14">
            <control shapeId="9731" r:id="rId236" name="Option Button 515">
              <controlPr defaultSize="0" autoFill="0" autoLine="0" autoPict="0">
                <anchor moveWithCells="1">
                  <from>
                    <xdr:col>3</xdr:col>
                    <xdr:colOff>76200</xdr:colOff>
                    <xdr:row>672</xdr:row>
                    <xdr:rowOff>48986</xdr:rowOff>
                  </from>
                  <to>
                    <xdr:col>9</xdr:col>
                    <xdr:colOff>201386</xdr:colOff>
                    <xdr:row>673</xdr:row>
                    <xdr:rowOff>266700</xdr:rowOff>
                  </to>
                </anchor>
              </controlPr>
            </control>
          </mc:Choice>
        </mc:AlternateContent>
        <mc:AlternateContent xmlns:mc="http://schemas.openxmlformats.org/markup-compatibility/2006">
          <mc:Choice Requires="x14">
            <control shapeId="9732" r:id="rId237" name="Option Button 516">
              <controlPr defaultSize="0" autoFill="0" autoLine="0" autoPict="0">
                <anchor moveWithCells="1">
                  <from>
                    <xdr:col>3</xdr:col>
                    <xdr:colOff>76200</xdr:colOff>
                    <xdr:row>674</xdr:row>
                    <xdr:rowOff>65314</xdr:rowOff>
                  </from>
                  <to>
                    <xdr:col>9</xdr:col>
                    <xdr:colOff>201386</xdr:colOff>
                    <xdr:row>675</xdr:row>
                    <xdr:rowOff>277586</xdr:rowOff>
                  </to>
                </anchor>
              </controlPr>
            </control>
          </mc:Choice>
        </mc:AlternateContent>
        <mc:AlternateContent xmlns:mc="http://schemas.openxmlformats.org/markup-compatibility/2006">
          <mc:Choice Requires="x14">
            <control shapeId="9733" r:id="rId238" name="Option Button 517">
              <controlPr defaultSize="0" autoFill="0" autoLine="0" autoPict="0">
                <anchor moveWithCells="1">
                  <from>
                    <xdr:col>3</xdr:col>
                    <xdr:colOff>76200</xdr:colOff>
                    <xdr:row>676</xdr:row>
                    <xdr:rowOff>48986</xdr:rowOff>
                  </from>
                  <to>
                    <xdr:col>9</xdr:col>
                    <xdr:colOff>190500</xdr:colOff>
                    <xdr:row>677</xdr:row>
                    <xdr:rowOff>255814</xdr:rowOff>
                  </to>
                </anchor>
              </controlPr>
            </control>
          </mc:Choice>
        </mc:AlternateContent>
        <mc:AlternateContent xmlns:mc="http://schemas.openxmlformats.org/markup-compatibility/2006">
          <mc:Choice Requires="x14">
            <control shapeId="9734" r:id="rId239" name="Option Button 518">
              <controlPr defaultSize="0" autoFill="0" autoLine="0" autoPict="0">
                <anchor moveWithCells="1">
                  <from>
                    <xdr:col>3</xdr:col>
                    <xdr:colOff>76200</xdr:colOff>
                    <xdr:row>678</xdr:row>
                    <xdr:rowOff>48986</xdr:rowOff>
                  </from>
                  <to>
                    <xdr:col>9</xdr:col>
                    <xdr:colOff>190500</xdr:colOff>
                    <xdr:row>679</xdr:row>
                    <xdr:rowOff>266700</xdr:rowOff>
                  </to>
                </anchor>
              </controlPr>
            </control>
          </mc:Choice>
        </mc:AlternateContent>
        <mc:AlternateContent xmlns:mc="http://schemas.openxmlformats.org/markup-compatibility/2006">
          <mc:Choice Requires="x14">
            <control shapeId="9735" r:id="rId240" name="Option Button 519">
              <controlPr defaultSize="0" autoFill="0" autoLine="0" autoPict="0">
                <anchor moveWithCells="1">
                  <from>
                    <xdr:col>3</xdr:col>
                    <xdr:colOff>65314</xdr:colOff>
                    <xdr:row>680</xdr:row>
                    <xdr:rowOff>48986</xdr:rowOff>
                  </from>
                  <to>
                    <xdr:col>9</xdr:col>
                    <xdr:colOff>141514</xdr:colOff>
                    <xdr:row>681</xdr:row>
                    <xdr:rowOff>266700</xdr:rowOff>
                  </to>
                </anchor>
              </controlPr>
            </control>
          </mc:Choice>
        </mc:AlternateContent>
        <mc:AlternateContent xmlns:mc="http://schemas.openxmlformats.org/markup-compatibility/2006">
          <mc:Choice Requires="x14">
            <control shapeId="9736" r:id="rId241" name="Option Button 520">
              <controlPr defaultSize="0" autoFill="0" autoLine="0" autoPict="0">
                <anchor moveWithCells="1">
                  <from>
                    <xdr:col>3</xdr:col>
                    <xdr:colOff>76200</xdr:colOff>
                    <xdr:row>405</xdr:row>
                    <xdr:rowOff>48986</xdr:rowOff>
                  </from>
                  <to>
                    <xdr:col>9</xdr:col>
                    <xdr:colOff>201386</xdr:colOff>
                    <xdr:row>406</xdr:row>
                    <xdr:rowOff>239486</xdr:rowOff>
                  </to>
                </anchor>
              </controlPr>
            </control>
          </mc:Choice>
        </mc:AlternateContent>
        <mc:AlternateContent xmlns:mc="http://schemas.openxmlformats.org/markup-compatibility/2006">
          <mc:Choice Requires="x14">
            <control shapeId="9737" r:id="rId242" name="Option Button 521">
              <controlPr defaultSize="0" autoFill="0" autoLine="0" autoPict="0">
                <anchor moveWithCells="1">
                  <from>
                    <xdr:col>3</xdr:col>
                    <xdr:colOff>76200</xdr:colOff>
                    <xdr:row>407</xdr:row>
                    <xdr:rowOff>27214</xdr:rowOff>
                  </from>
                  <to>
                    <xdr:col>9</xdr:col>
                    <xdr:colOff>201386</xdr:colOff>
                    <xdr:row>408</xdr:row>
                    <xdr:rowOff>239486</xdr:rowOff>
                  </to>
                </anchor>
              </controlPr>
            </control>
          </mc:Choice>
        </mc:AlternateContent>
        <mc:AlternateContent xmlns:mc="http://schemas.openxmlformats.org/markup-compatibility/2006">
          <mc:Choice Requires="x14">
            <control shapeId="9738" r:id="rId243" name="Option Button 522">
              <controlPr defaultSize="0" autoFill="0" autoLine="0" autoPict="0">
                <anchor moveWithCells="1">
                  <from>
                    <xdr:col>3</xdr:col>
                    <xdr:colOff>76200</xdr:colOff>
                    <xdr:row>409</xdr:row>
                    <xdr:rowOff>38100</xdr:rowOff>
                  </from>
                  <to>
                    <xdr:col>9</xdr:col>
                    <xdr:colOff>190500</xdr:colOff>
                    <xdr:row>410</xdr:row>
                    <xdr:rowOff>239486</xdr:rowOff>
                  </to>
                </anchor>
              </controlPr>
            </control>
          </mc:Choice>
        </mc:AlternateContent>
        <mc:AlternateContent xmlns:mc="http://schemas.openxmlformats.org/markup-compatibility/2006">
          <mc:Choice Requires="x14">
            <control shapeId="9739" r:id="rId244" name="Option Button 523">
              <controlPr defaultSize="0" autoFill="0" autoLine="0" autoPict="0">
                <anchor moveWithCells="1">
                  <from>
                    <xdr:col>3</xdr:col>
                    <xdr:colOff>76200</xdr:colOff>
                    <xdr:row>411</xdr:row>
                    <xdr:rowOff>27214</xdr:rowOff>
                  </from>
                  <to>
                    <xdr:col>9</xdr:col>
                    <xdr:colOff>190500</xdr:colOff>
                    <xdr:row>412</xdr:row>
                    <xdr:rowOff>239486</xdr:rowOff>
                  </to>
                </anchor>
              </controlPr>
            </control>
          </mc:Choice>
        </mc:AlternateContent>
        <mc:AlternateContent xmlns:mc="http://schemas.openxmlformats.org/markup-compatibility/2006">
          <mc:Choice Requires="x14">
            <control shapeId="9740" r:id="rId245" name="Option Button 524">
              <controlPr defaultSize="0" autoFill="0" autoLine="0" autoPict="0">
                <anchor moveWithCells="1">
                  <from>
                    <xdr:col>3</xdr:col>
                    <xdr:colOff>76200</xdr:colOff>
                    <xdr:row>413</xdr:row>
                    <xdr:rowOff>27214</xdr:rowOff>
                  </from>
                  <to>
                    <xdr:col>9</xdr:col>
                    <xdr:colOff>152400</xdr:colOff>
                    <xdr:row>414</xdr:row>
                    <xdr:rowOff>239486</xdr:rowOff>
                  </to>
                </anchor>
              </controlPr>
            </control>
          </mc:Choice>
        </mc:AlternateContent>
        <mc:AlternateContent xmlns:mc="http://schemas.openxmlformats.org/markup-compatibility/2006">
          <mc:Choice Requires="x14">
            <control shapeId="9741" r:id="rId246" name="Option Button 525">
              <controlPr defaultSize="0" autoFill="0" autoLine="0" autoPict="0">
                <anchor moveWithCells="1">
                  <from>
                    <xdr:col>3</xdr:col>
                    <xdr:colOff>76200</xdr:colOff>
                    <xdr:row>421</xdr:row>
                    <xdr:rowOff>27214</xdr:rowOff>
                  </from>
                  <to>
                    <xdr:col>9</xdr:col>
                    <xdr:colOff>201386</xdr:colOff>
                    <xdr:row>423</xdr:row>
                    <xdr:rowOff>27214</xdr:rowOff>
                  </to>
                </anchor>
              </controlPr>
            </control>
          </mc:Choice>
        </mc:AlternateContent>
        <mc:AlternateContent xmlns:mc="http://schemas.openxmlformats.org/markup-compatibility/2006">
          <mc:Choice Requires="x14">
            <control shapeId="9742" r:id="rId247" name="Option Button 526">
              <controlPr defaultSize="0" autoFill="0" autoLine="0" autoPict="0">
                <anchor moveWithCells="1">
                  <from>
                    <xdr:col>3</xdr:col>
                    <xdr:colOff>76200</xdr:colOff>
                    <xdr:row>423</xdr:row>
                    <xdr:rowOff>27214</xdr:rowOff>
                  </from>
                  <to>
                    <xdr:col>9</xdr:col>
                    <xdr:colOff>201386</xdr:colOff>
                    <xdr:row>424</xdr:row>
                    <xdr:rowOff>239486</xdr:rowOff>
                  </to>
                </anchor>
              </controlPr>
            </control>
          </mc:Choice>
        </mc:AlternateContent>
        <mc:AlternateContent xmlns:mc="http://schemas.openxmlformats.org/markup-compatibility/2006">
          <mc:Choice Requires="x14">
            <control shapeId="9743" r:id="rId248" name="Option Button 527">
              <controlPr defaultSize="0" autoFill="0" autoLine="0" autoPict="0">
                <anchor moveWithCells="1">
                  <from>
                    <xdr:col>3</xdr:col>
                    <xdr:colOff>76200</xdr:colOff>
                    <xdr:row>425</xdr:row>
                    <xdr:rowOff>38100</xdr:rowOff>
                  </from>
                  <to>
                    <xdr:col>9</xdr:col>
                    <xdr:colOff>190500</xdr:colOff>
                    <xdr:row>426</xdr:row>
                    <xdr:rowOff>239486</xdr:rowOff>
                  </to>
                </anchor>
              </controlPr>
            </control>
          </mc:Choice>
        </mc:AlternateContent>
        <mc:AlternateContent xmlns:mc="http://schemas.openxmlformats.org/markup-compatibility/2006">
          <mc:Choice Requires="x14">
            <control shapeId="9744" r:id="rId249" name="Option Button 528">
              <controlPr defaultSize="0" autoFill="0" autoLine="0" autoPict="0">
                <anchor moveWithCells="1">
                  <from>
                    <xdr:col>3</xdr:col>
                    <xdr:colOff>76200</xdr:colOff>
                    <xdr:row>427</xdr:row>
                    <xdr:rowOff>27214</xdr:rowOff>
                  </from>
                  <to>
                    <xdr:col>9</xdr:col>
                    <xdr:colOff>190500</xdr:colOff>
                    <xdr:row>428</xdr:row>
                    <xdr:rowOff>239486</xdr:rowOff>
                  </to>
                </anchor>
              </controlPr>
            </control>
          </mc:Choice>
        </mc:AlternateContent>
        <mc:AlternateContent xmlns:mc="http://schemas.openxmlformats.org/markup-compatibility/2006">
          <mc:Choice Requires="x14">
            <control shapeId="9745" r:id="rId250" name="Option Button 529">
              <controlPr defaultSize="0" autoFill="0" autoLine="0" autoPict="0">
                <anchor moveWithCells="1">
                  <from>
                    <xdr:col>3</xdr:col>
                    <xdr:colOff>76200</xdr:colOff>
                    <xdr:row>429</xdr:row>
                    <xdr:rowOff>27214</xdr:rowOff>
                  </from>
                  <to>
                    <xdr:col>9</xdr:col>
                    <xdr:colOff>152400</xdr:colOff>
                    <xdr:row>430</xdr:row>
                    <xdr:rowOff>239486</xdr:rowOff>
                  </to>
                </anchor>
              </controlPr>
            </control>
          </mc:Choice>
        </mc:AlternateContent>
        <mc:AlternateContent xmlns:mc="http://schemas.openxmlformats.org/markup-compatibility/2006">
          <mc:Choice Requires="x14">
            <control shapeId="9746" r:id="rId251" name="Option Button 530">
              <controlPr defaultSize="0" autoFill="0" autoLine="0" autoPict="0">
                <anchor moveWithCells="1">
                  <from>
                    <xdr:col>3</xdr:col>
                    <xdr:colOff>76200</xdr:colOff>
                    <xdr:row>437</xdr:row>
                    <xdr:rowOff>27214</xdr:rowOff>
                  </from>
                  <to>
                    <xdr:col>9</xdr:col>
                    <xdr:colOff>201386</xdr:colOff>
                    <xdr:row>438</xdr:row>
                    <xdr:rowOff>239486</xdr:rowOff>
                  </to>
                </anchor>
              </controlPr>
            </control>
          </mc:Choice>
        </mc:AlternateContent>
        <mc:AlternateContent xmlns:mc="http://schemas.openxmlformats.org/markup-compatibility/2006">
          <mc:Choice Requires="x14">
            <control shapeId="9747" r:id="rId252" name="Option Button 531">
              <controlPr defaultSize="0" autoFill="0" autoLine="0" autoPict="0">
                <anchor moveWithCells="1">
                  <from>
                    <xdr:col>3</xdr:col>
                    <xdr:colOff>76200</xdr:colOff>
                    <xdr:row>439</xdr:row>
                    <xdr:rowOff>38100</xdr:rowOff>
                  </from>
                  <to>
                    <xdr:col>9</xdr:col>
                    <xdr:colOff>201386</xdr:colOff>
                    <xdr:row>440</xdr:row>
                    <xdr:rowOff>239486</xdr:rowOff>
                  </to>
                </anchor>
              </controlPr>
            </control>
          </mc:Choice>
        </mc:AlternateContent>
        <mc:AlternateContent xmlns:mc="http://schemas.openxmlformats.org/markup-compatibility/2006">
          <mc:Choice Requires="x14">
            <control shapeId="9748" r:id="rId253" name="Option Button 532">
              <controlPr defaultSize="0" autoFill="0" autoLine="0" autoPict="0">
                <anchor moveWithCells="1">
                  <from>
                    <xdr:col>3</xdr:col>
                    <xdr:colOff>76200</xdr:colOff>
                    <xdr:row>441</xdr:row>
                    <xdr:rowOff>48986</xdr:rowOff>
                  </from>
                  <to>
                    <xdr:col>9</xdr:col>
                    <xdr:colOff>190500</xdr:colOff>
                    <xdr:row>442</xdr:row>
                    <xdr:rowOff>255814</xdr:rowOff>
                  </to>
                </anchor>
              </controlPr>
            </control>
          </mc:Choice>
        </mc:AlternateContent>
        <mc:AlternateContent xmlns:mc="http://schemas.openxmlformats.org/markup-compatibility/2006">
          <mc:Choice Requires="x14">
            <control shapeId="9749" r:id="rId254" name="Option Button 533">
              <controlPr defaultSize="0" autoFill="0" autoLine="0" autoPict="0">
                <anchor moveWithCells="1">
                  <from>
                    <xdr:col>3</xdr:col>
                    <xdr:colOff>76200</xdr:colOff>
                    <xdr:row>443</xdr:row>
                    <xdr:rowOff>48986</xdr:rowOff>
                  </from>
                  <to>
                    <xdr:col>9</xdr:col>
                    <xdr:colOff>190500</xdr:colOff>
                    <xdr:row>445</xdr:row>
                    <xdr:rowOff>10886</xdr:rowOff>
                  </to>
                </anchor>
              </controlPr>
            </control>
          </mc:Choice>
        </mc:AlternateContent>
        <mc:AlternateContent xmlns:mc="http://schemas.openxmlformats.org/markup-compatibility/2006">
          <mc:Choice Requires="x14">
            <control shapeId="9750" r:id="rId255" name="Option Button 534">
              <controlPr defaultSize="0" autoFill="0" autoLine="0" autoPict="0">
                <anchor moveWithCells="1">
                  <from>
                    <xdr:col>3</xdr:col>
                    <xdr:colOff>76200</xdr:colOff>
                    <xdr:row>445</xdr:row>
                    <xdr:rowOff>27214</xdr:rowOff>
                  </from>
                  <to>
                    <xdr:col>9</xdr:col>
                    <xdr:colOff>152400</xdr:colOff>
                    <xdr:row>447</xdr:row>
                    <xdr:rowOff>27214</xdr:rowOff>
                  </to>
                </anchor>
              </controlPr>
            </control>
          </mc:Choice>
        </mc:AlternateContent>
        <mc:AlternateContent xmlns:mc="http://schemas.openxmlformats.org/markup-compatibility/2006">
          <mc:Choice Requires="x14">
            <control shapeId="9751" r:id="rId256" name="Option Button 535">
              <controlPr defaultSize="0" autoFill="0" autoLine="0" autoPict="0">
                <anchor moveWithCells="1">
                  <from>
                    <xdr:col>3</xdr:col>
                    <xdr:colOff>76200</xdr:colOff>
                    <xdr:row>742</xdr:row>
                    <xdr:rowOff>48986</xdr:rowOff>
                  </from>
                  <to>
                    <xdr:col>9</xdr:col>
                    <xdr:colOff>201386</xdr:colOff>
                    <xdr:row>743</xdr:row>
                    <xdr:rowOff>255814</xdr:rowOff>
                  </to>
                </anchor>
              </controlPr>
            </control>
          </mc:Choice>
        </mc:AlternateContent>
        <mc:AlternateContent xmlns:mc="http://schemas.openxmlformats.org/markup-compatibility/2006">
          <mc:Choice Requires="x14">
            <control shapeId="9752" r:id="rId257" name="Option Button 536">
              <controlPr defaultSize="0" autoFill="0" autoLine="0" autoPict="0">
                <anchor moveWithCells="1">
                  <from>
                    <xdr:col>3</xdr:col>
                    <xdr:colOff>76200</xdr:colOff>
                    <xdr:row>744</xdr:row>
                    <xdr:rowOff>65314</xdr:rowOff>
                  </from>
                  <to>
                    <xdr:col>9</xdr:col>
                    <xdr:colOff>201386</xdr:colOff>
                    <xdr:row>745</xdr:row>
                    <xdr:rowOff>277586</xdr:rowOff>
                  </to>
                </anchor>
              </controlPr>
            </control>
          </mc:Choice>
        </mc:AlternateContent>
        <mc:AlternateContent xmlns:mc="http://schemas.openxmlformats.org/markup-compatibility/2006">
          <mc:Choice Requires="x14">
            <control shapeId="9753" r:id="rId258" name="Option Button 537">
              <controlPr defaultSize="0" autoFill="0" autoLine="0" autoPict="0">
                <anchor moveWithCells="1">
                  <from>
                    <xdr:col>3</xdr:col>
                    <xdr:colOff>76200</xdr:colOff>
                    <xdr:row>746</xdr:row>
                    <xdr:rowOff>48986</xdr:rowOff>
                  </from>
                  <to>
                    <xdr:col>9</xdr:col>
                    <xdr:colOff>190500</xdr:colOff>
                    <xdr:row>747</xdr:row>
                    <xdr:rowOff>255814</xdr:rowOff>
                  </to>
                </anchor>
              </controlPr>
            </control>
          </mc:Choice>
        </mc:AlternateContent>
        <mc:AlternateContent xmlns:mc="http://schemas.openxmlformats.org/markup-compatibility/2006">
          <mc:Choice Requires="x14">
            <control shapeId="9754" r:id="rId259" name="Option Button 538">
              <controlPr defaultSize="0" autoFill="0" autoLine="0" autoPict="0">
                <anchor moveWithCells="1">
                  <from>
                    <xdr:col>3</xdr:col>
                    <xdr:colOff>76200</xdr:colOff>
                    <xdr:row>748</xdr:row>
                    <xdr:rowOff>48986</xdr:rowOff>
                  </from>
                  <to>
                    <xdr:col>9</xdr:col>
                    <xdr:colOff>190500</xdr:colOff>
                    <xdr:row>749</xdr:row>
                    <xdr:rowOff>266700</xdr:rowOff>
                  </to>
                </anchor>
              </controlPr>
            </control>
          </mc:Choice>
        </mc:AlternateContent>
        <mc:AlternateContent xmlns:mc="http://schemas.openxmlformats.org/markup-compatibility/2006">
          <mc:Choice Requires="x14">
            <control shapeId="9755" r:id="rId260" name="Option Button 539">
              <controlPr defaultSize="0" autoFill="0" autoLine="0" autoPict="0">
                <anchor moveWithCells="1">
                  <from>
                    <xdr:col>3</xdr:col>
                    <xdr:colOff>65314</xdr:colOff>
                    <xdr:row>750</xdr:row>
                    <xdr:rowOff>48986</xdr:rowOff>
                  </from>
                  <to>
                    <xdr:col>9</xdr:col>
                    <xdr:colOff>141514</xdr:colOff>
                    <xdr:row>752</xdr:row>
                    <xdr:rowOff>38100</xdr:rowOff>
                  </to>
                </anchor>
              </controlPr>
            </control>
          </mc:Choice>
        </mc:AlternateContent>
        <mc:AlternateContent xmlns:mc="http://schemas.openxmlformats.org/markup-compatibility/2006">
          <mc:Choice Requires="x14">
            <control shapeId="9756" r:id="rId261" name="Option Button 540">
              <controlPr defaultSize="0" autoFill="0" autoLine="0" autoPict="0">
                <anchor moveWithCells="1">
                  <from>
                    <xdr:col>3</xdr:col>
                    <xdr:colOff>76200</xdr:colOff>
                    <xdr:row>706</xdr:row>
                    <xdr:rowOff>48986</xdr:rowOff>
                  </from>
                  <to>
                    <xdr:col>9</xdr:col>
                    <xdr:colOff>190500</xdr:colOff>
                    <xdr:row>707</xdr:row>
                    <xdr:rowOff>266700</xdr:rowOff>
                  </to>
                </anchor>
              </controlPr>
            </control>
          </mc:Choice>
        </mc:AlternateContent>
        <mc:AlternateContent xmlns:mc="http://schemas.openxmlformats.org/markup-compatibility/2006">
          <mc:Choice Requires="x14">
            <control shapeId="9757" r:id="rId262" name="Option Button 541">
              <controlPr defaultSize="0" autoFill="0" autoLine="0" autoPict="0">
                <anchor moveWithCells="1">
                  <from>
                    <xdr:col>3</xdr:col>
                    <xdr:colOff>76200</xdr:colOff>
                    <xdr:row>708</xdr:row>
                    <xdr:rowOff>27214</xdr:rowOff>
                  </from>
                  <to>
                    <xdr:col>10</xdr:col>
                    <xdr:colOff>0</xdr:colOff>
                    <xdr:row>709</xdr:row>
                    <xdr:rowOff>255814</xdr:rowOff>
                  </to>
                </anchor>
              </controlPr>
            </control>
          </mc:Choice>
        </mc:AlternateContent>
        <mc:AlternateContent xmlns:mc="http://schemas.openxmlformats.org/markup-compatibility/2006">
          <mc:Choice Requires="x14">
            <control shapeId="9758" r:id="rId263" name="Option Button 542">
              <controlPr defaultSize="0" autoFill="0" autoLine="0" autoPict="0">
                <anchor moveWithCells="1">
                  <from>
                    <xdr:col>3</xdr:col>
                    <xdr:colOff>76200</xdr:colOff>
                    <xdr:row>710</xdr:row>
                    <xdr:rowOff>48986</xdr:rowOff>
                  </from>
                  <to>
                    <xdr:col>9</xdr:col>
                    <xdr:colOff>190500</xdr:colOff>
                    <xdr:row>711</xdr:row>
                    <xdr:rowOff>266700</xdr:rowOff>
                  </to>
                </anchor>
              </controlPr>
            </control>
          </mc:Choice>
        </mc:AlternateContent>
        <mc:AlternateContent xmlns:mc="http://schemas.openxmlformats.org/markup-compatibility/2006">
          <mc:Choice Requires="x14">
            <control shapeId="9759" r:id="rId264" name="Option Button 543">
              <controlPr defaultSize="0" autoFill="0" autoLine="0" autoPict="0">
                <anchor moveWithCells="1">
                  <from>
                    <xdr:col>3</xdr:col>
                    <xdr:colOff>76200</xdr:colOff>
                    <xdr:row>712</xdr:row>
                    <xdr:rowOff>48986</xdr:rowOff>
                  </from>
                  <to>
                    <xdr:col>9</xdr:col>
                    <xdr:colOff>190500</xdr:colOff>
                    <xdr:row>713</xdr:row>
                    <xdr:rowOff>277586</xdr:rowOff>
                  </to>
                </anchor>
              </controlPr>
            </control>
          </mc:Choice>
        </mc:AlternateContent>
        <mc:AlternateContent xmlns:mc="http://schemas.openxmlformats.org/markup-compatibility/2006">
          <mc:Choice Requires="x14">
            <control shapeId="9760" r:id="rId265" name="Option Button 544">
              <controlPr defaultSize="0" autoFill="0" autoLine="0" autoPict="0">
                <anchor moveWithCells="1">
                  <from>
                    <xdr:col>3</xdr:col>
                    <xdr:colOff>76200</xdr:colOff>
                    <xdr:row>714</xdr:row>
                    <xdr:rowOff>38100</xdr:rowOff>
                  </from>
                  <to>
                    <xdr:col>9</xdr:col>
                    <xdr:colOff>179614</xdr:colOff>
                    <xdr:row>715</xdr:row>
                    <xdr:rowOff>266700</xdr:rowOff>
                  </to>
                </anchor>
              </controlPr>
            </control>
          </mc:Choice>
        </mc:AlternateContent>
        <mc:AlternateContent xmlns:mc="http://schemas.openxmlformats.org/markup-compatibility/2006">
          <mc:Choice Requires="x14">
            <control shapeId="9761" r:id="rId266" name="Option Button 545">
              <controlPr defaultSize="0" autoFill="0" autoLine="0" autoPict="0">
                <anchor moveWithCells="1">
                  <from>
                    <xdr:col>3</xdr:col>
                    <xdr:colOff>87086</xdr:colOff>
                    <xdr:row>704</xdr:row>
                    <xdr:rowOff>48986</xdr:rowOff>
                  </from>
                  <to>
                    <xdr:col>10</xdr:col>
                    <xdr:colOff>27214</xdr:colOff>
                    <xdr:row>706</xdr:row>
                    <xdr:rowOff>38100</xdr:rowOff>
                  </to>
                </anchor>
              </controlPr>
            </control>
          </mc:Choice>
        </mc:AlternateContent>
        <mc:AlternateContent xmlns:mc="http://schemas.openxmlformats.org/markup-compatibility/2006">
          <mc:Choice Requires="x14">
            <control shapeId="9762" r:id="rId267" name="Option Button 546">
              <controlPr defaultSize="0" autoFill="0" autoLine="0" autoPict="0">
                <anchor moveWithCells="1">
                  <from>
                    <xdr:col>3</xdr:col>
                    <xdr:colOff>76200</xdr:colOff>
                    <xdr:row>655</xdr:row>
                    <xdr:rowOff>48986</xdr:rowOff>
                  </from>
                  <to>
                    <xdr:col>9</xdr:col>
                    <xdr:colOff>190500</xdr:colOff>
                    <xdr:row>656</xdr:row>
                    <xdr:rowOff>266700</xdr:rowOff>
                  </to>
                </anchor>
              </controlPr>
            </control>
          </mc:Choice>
        </mc:AlternateContent>
        <mc:AlternateContent xmlns:mc="http://schemas.openxmlformats.org/markup-compatibility/2006">
          <mc:Choice Requires="x14">
            <control shapeId="9763" r:id="rId268" name="Option Button 547">
              <controlPr defaultSize="0" autoFill="0" autoLine="0" autoPict="0">
                <anchor moveWithCells="1">
                  <from>
                    <xdr:col>3</xdr:col>
                    <xdr:colOff>76200</xdr:colOff>
                    <xdr:row>657</xdr:row>
                    <xdr:rowOff>27214</xdr:rowOff>
                  </from>
                  <to>
                    <xdr:col>10</xdr:col>
                    <xdr:colOff>0</xdr:colOff>
                    <xdr:row>658</xdr:row>
                    <xdr:rowOff>255814</xdr:rowOff>
                  </to>
                </anchor>
              </controlPr>
            </control>
          </mc:Choice>
        </mc:AlternateContent>
        <mc:AlternateContent xmlns:mc="http://schemas.openxmlformats.org/markup-compatibility/2006">
          <mc:Choice Requires="x14">
            <control shapeId="9764" r:id="rId269" name="Option Button 548">
              <controlPr defaultSize="0" autoFill="0" autoLine="0" autoPict="0">
                <anchor moveWithCells="1">
                  <from>
                    <xdr:col>3</xdr:col>
                    <xdr:colOff>76200</xdr:colOff>
                    <xdr:row>659</xdr:row>
                    <xdr:rowOff>48986</xdr:rowOff>
                  </from>
                  <to>
                    <xdr:col>9</xdr:col>
                    <xdr:colOff>190500</xdr:colOff>
                    <xdr:row>660</xdr:row>
                    <xdr:rowOff>266700</xdr:rowOff>
                  </to>
                </anchor>
              </controlPr>
            </control>
          </mc:Choice>
        </mc:AlternateContent>
        <mc:AlternateContent xmlns:mc="http://schemas.openxmlformats.org/markup-compatibility/2006">
          <mc:Choice Requires="x14">
            <control shapeId="9765" r:id="rId270" name="Option Button 549">
              <controlPr defaultSize="0" autoFill="0" autoLine="0" autoPict="0">
                <anchor moveWithCells="1">
                  <from>
                    <xdr:col>3</xdr:col>
                    <xdr:colOff>76200</xdr:colOff>
                    <xdr:row>661</xdr:row>
                    <xdr:rowOff>48986</xdr:rowOff>
                  </from>
                  <to>
                    <xdr:col>9</xdr:col>
                    <xdr:colOff>190500</xdr:colOff>
                    <xdr:row>663</xdr:row>
                    <xdr:rowOff>48986</xdr:rowOff>
                  </to>
                </anchor>
              </controlPr>
            </control>
          </mc:Choice>
        </mc:AlternateContent>
        <mc:AlternateContent xmlns:mc="http://schemas.openxmlformats.org/markup-compatibility/2006">
          <mc:Choice Requires="x14">
            <control shapeId="9766" r:id="rId271" name="Option Button 550">
              <controlPr defaultSize="0" autoFill="0" autoLine="0" autoPict="0">
                <anchor moveWithCells="1">
                  <from>
                    <xdr:col>3</xdr:col>
                    <xdr:colOff>76200</xdr:colOff>
                    <xdr:row>663</xdr:row>
                    <xdr:rowOff>38100</xdr:rowOff>
                  </from>
                  <to>
                    <xdr:col>9</xdr:col>
                    <xdr:colOff>179614</xdr:colOff>
                    <xdr:row>665</xdr:row>
                    <xdr:rowOff>48986</xdr:rowOff>
                  </to>
                </anchor>
              </controlPr>
            </control>
          </mc:Choice>
        </mc:AlternateContent>
        <mc:AlternateContent xmlns:mc="http://schemas.openxmlformats.org/markup-compatibility/2006">
          <mc:Choice Requires="x14">
            <control shapeId="9767" r:id="rId272" name="Option Button 551">
              <controlPr defaultSize="0" autoFill="0" autoLine="0" autoPict="0">
                <anchor moveWithCells="1">
                  <from>
                    <xdr:col>3</xdr:col>
                    <xdr:colOff>76200</xdr:colOff>
                    <xdr:row>653</xdr:row>
                    <xdr:rowOff>48986</xdr:rowOff>
                  </from>
                  <to>
                    <xdr:col>10</xdr:col>
                    <xdr:colOff>10886</xdr:colOff>
                    <xdr:row>655</xdr:row>
                    <xdr:rowOff>38100</xdr:rowOff>
                  </to>
                </anchor>
              </controlPr>
            </control>
          </mc:Choice>
        </mc:AlternateContent>
        <mc:AlternateContent xmlns:mc="http://schemas.openxmlformats.org/markup-compatibility/2006">
          <mc:Choice Requires="x14">
            <control shapeId="9774" r:id="rId273" name="Option Button 558">
              <controlPr defaultSize="0" autoFill="0" autoLine="0" autoPict="0">
                <anchor moveWithCells="1">
                  <from>
                    <xdr:col>3</xdr:col>
                    <xdr:colOff>76200</xdr:colOff>
                    <xdr:row>610</xdr:row>
                    <xdr:rowOff>48986</xdr:rowOff>
                  </from>
                  <to>
                    <xdr:col>9</xdr:col>
                    <xdr:colOff>190500</xdr:colOff>
                    <xdr:row>611</xdr:row>
                    <xdr:rowOff>266700</xdr:rowOff>
                  </to>
                </anchor>
              </controlPr>
            </control>
          </mc:Choice>
        </mc:AlternateContent>
        <mc:AlternateContent xmlns:mc="http://schemas.openxmlformats.org/markup-compatibility/2006">
          <mc:Choice Requires="x14">
            <control shapeId="9775" r:id="rId274" name="Option Button 559">
              <controlPr defaultSize="0" autoFill="0" autoLine="0" autoPict="0">
                <anchor moveWithCells="1">
                  <from>
                    <xdr:col>3</xdr:col>
                    <xdr:colOff>76200</xdr:colOff>
                    <xdr:row>612</xdr:row>
                    <xdr:rowOff>38100</xdr:rowOff>
                  </from>
                  <to>
                    <xdr:col>10</xdr:col>
                    <xdr:colOff>0</xdr:colOff>
                    <xdr:row>613</xdr:row>
                    <xdr:rowOff>266700</xdr:rowOff>
                  </to>
                </anchor>
              </controlPr>
            </control>
          </mc:Choice>
        </mc:AlternateContent>
        <mc:AlternateContent xmlns:mc="http://schemas.openxmlformats.org/markup-compatibility/2006">
          <mc:Choice Requires="x14">
            <control shapeId="9776" r:id="rId275" name="Option Button 560">
              <controlPr defaultSize="0" autoFill="0" autoLine="0" autoPict="0">
                <anchor moveWithCells="1">
                  <from>
                    <xdr:col>3</xdr:col>
                    <xdr:colOff>76200</xdr:colOff>
                    <xdr:row>614</xdr:row>
                    <xdr:rowOff>38100</xdr:rowOff>
                  </from>
                  <to>
                    <xdr:col>9</xdr:col>
                    <xdr:colOff>190500</xdr:colOff>
                    <xdr:row>615</xdr:row>
                    <xdr:rowOff>255814</xdr:rowOff>
                  </to>
                </anchor>
              </controlPr>
            </control>
          </mc:Choice>
        </mc:AlternateContent>
        <mc:AlternateContent xmlns:mc="http://schemas.openxmlformats.org/markup-compatibility/2006">
          <mc:Choice Requires="x14">
            <control shapeId="9777" r:id="rId276" name="Option Button 561">
              <controlPr defaultSize="0" autoFill="0" autoLine="0" autoPict="0">
                <anchor moveWithCells="1">
                  <from>
                    <xdr:col>3</xdr:col>
                    <xdr:colOff>76200</xdr:colOff>
                    <xdr:row>619</xdr:row>
                    <xdr:rowOff>27214</xdr:rowOff>
                  </from>
                  <to>
                    <xdr:col>9</xdr:col>
                    <xdr:colOff>190500</xdr:colOff>
                    <xdr:row>620</xdr:row>
                    <xdr:rowOff>255814</xdr:rowOff>
                  </to>
                </anchor>
              </controlPr>
            </control>
          </mc:Choice>
        </mc:AlternateContent>
        <mc:AlternateContent xmlns:mc="http://schemas.openxmlformats.org/markup-compatibility/2006">
          <mc:Choice Requires="x14">
            <control shapeId="9778" r:id="rId277" name="Option Button 562">
              <controlPr defaultSize="0" autoFill="0" autoLine="0" autoPict="0">
                <anchor moveWithCells="1">
                  <from>
                    <xdr:col>3</xdr:col>
                    <xdr:colOff>76200</xdr:colOff>
                    <xdr:row>623</xdr:row>
                    <xdr:rowOff>38100</xdr:rowOff>
                  </from>
                  <to>
                    <xdr:col>9</xdr:col>
                    <xdr:colOff>179614</xdr:colOff>
                    <xdr:row>624</xdr:row>
                    <xdr:rowOff>266700</xdr:rowOff>
                  </to>
                </anchor>
              </controlPr>
            </control>
          </mc:Choice>
        </mc:AlternateContent>
        <mc:AlternateContent xmlns:mc="http://schemas.openxmlformats.org/markup-compatibility/2006">
          <mc:Choice Requires="x14">
            <control shapeId="9779" r:id="rId278" name="Option Button 563">
              <controlPr defaultSize="0" autoFill="0" autoLine="0" autoPict="0">
                <anchor moveWithCells="1">
                  <from>
                    <xdr:col>3</xdr:col>
                    <xdr:colOff>76200</xdr:colOff>
                    <xdr:row>608</xdr:row>
                    <xdr:rowOff>48986</xdr:rowOff>
                  </from>
                  <to>
                    <xdr:col>10</xdr:col>
                    <xdr:colOff>10886</xdr:colOff>
                    <xdr:row>610</xdr:row>
                    <xdr:rowOff>38100</xdr:rowOff>
                  </to>
                </anchor>
              </controlPr>
            </control>
          </mc:Choice>
        </mc:AlternateContent>
        <mc:AlternateContent xmlns:mc="http://schemas.openxmlformats.org/markup-compatibility/2006">
          <mc:Choice Requires="x14">
            <control shapeId="9780" r:id="rId279" name="Option Button 564">
              <controlPr defaultSize="0" autoFill="0" autoLine="0" autoPict="0">
                <anchor moveWithCells="1">
                  <from>
                    <xdr:col>3</xdr:col>
                    <xdr:colOff>65314</xdr:colOff>
                    <xdr:row>726</xdr:row>
                    <xdr:rowOff>0</xdr:rowOff>
                  </from>
                  <to>
                    <xdr:col>10</xdr:col>
                    <xdr:colOff>0</xdr:colOff>
                    <xdr:row>726</xdr:row>
                    <xdr:rowOff>293914</xdr:rowOff>
                  </to>
                </anchor>
              </controlPr>
            </control>
          </mc:Choice>
        </mc:AlternateContent>
        <mc:AlternateContent xmlns:mc="http://schemas.openxmlformats.org/markup-compatibility/2006">
          <mc:Choice Requires="x14">
            <control shapeId="9781" r:id="rId280" name="Option Button 565">
              <controlPr defaultSize="0" autoFill="0" autoLine="0" autoPict="0">
                <anchor moveWithCells="1">
                  <from>
                    <xdr:col>3</xdr:col>
                    <xdr:colOff>76200</xdr:colOff>
                    <xdr:row>727</xdr:row>
                    <xdr:rowOff>48986</xdr:rowOff>
                  </from>
                  <to>
                    <xdr:col>10</xdr:col>
                    <xdr:colOff>48986</xdr:colOff>
                    <xdr:row>728</xdr:row>
                    <xdr:rowOff>277586</xdr:rowOff>
                  </to>
                </anchor>
              </controlPr>
            </control>
          </mc:Choice>
        </mc:AlternateContent>
        <mc:AlternateContent xmlns:mc="http://schemas.openxmlformats.org/markup-compatibility/2006">
          <mc:Choice Requires="x14">
            <control shapeId="9782" r:id="rId281" name="Option Button 566">
              <controlPr defaultSize="0" autoFill="0" autoLine="0" autoPict="0">
                <anchor moveWithCells="1">
                  <from>
                    <xdr:col>3</xdr:col>
                    <xdr:colOff>76200</xdr:colOff>
                    <xdr:row>728</xdr:row>
                    <xdr:rowOff>1828800</xdr:rowOff>
                  </from>
                  <to>
                    <xdr:col>9</xdr:col>
                    <xdr:colOff>190500</xdr:colOff>
                    <xdr:row>729</xdr:row>
                    <xdr:rowOff>266700</xdr:rowOff>
                  </to>
                </anchor>
              </controlPr>
            </control>
          </mc:Choice>
        </mc:AlternateContent>
        <mc:AlternateContent xmlns:mc="http://schemas.openxmlformats.org/markup-compatibility/2006">
          <mc:Choice Requires="x14">
            <control shapeId="9783" r:id="rId282" name="Option Button 567">
              <controlPr defaultSize="0" autoFill="0" autoLine="0" autoPict="0">
                <anchor moveWithCells="1">
                  <from>
                    <xdr:col>3</xdr:col>
                    <xdr:colOff>76200</xdr:colOff>
                    <xdr:row>730</xdr:row>
                    <xdr:rowOff>38100</xdr:rowOff>
                  </from>
                  <to>
                    <xdr:col>9</xdr:col>
                    <xdr:colOff>141514</xdr:colOff>
                    <xdr:row>732</xdr:row>
                    <xdr:rowOff>38100</xdr:rowOff>
                  </to>
                </anchor>
              </controlPr>
            </control>
          </mc:Choice>
        </mc:AlternateContent>
        <mc:AlternateContent xmlns:mc="http://schemas.openxmlformats.org/markup-compatibility/2006">
          <mc:Choice Requires="x14">
            <control shapeId="9784" r:id="rId283" name="Option Button 568">
              <controlPr defaultSize="0" autoFill="0" autoLine="0" autoPict="0">
                <anchor moveWithCells="1">
                  <from>
                    <xdr:col>3</xdr:col>
                    <xdr:colOff>76200</xdr:colOff>
                    <xdr:row>732</xdr:row>
                    <xdr:rowOff>38100</xdr:rowOff>
                  </from>
                  <to>
                    <xdr:col>9</xdr:col>
                    <xdr:colOff>201386</xdr:colOff>
                    <xdr:row>734</xdr:row>
                    <xdr:rowOff>38100</xdr:rowOff>
                  </to>
                </anchor>
              </controlPr>
            </control>
          </mc:Choice>
        </mc:AlternateContent>
        <mc:AlternateContent xmlns:mc="http://schemas.openxmlformats.org/markup-compatibility/2006">
          <mc:Choice Requires="x14">
            <control shapeId="9785" r:id="rId284" name="Option Button 569">
              <controlPr defaultSize="0" autoFill="0" autoLine="0" autoPict="0">
                <anchor moveWithCells="1">
                  <from>
                    <xdr:col>3</xdr:col>
                    <xdr:colOff>76200</xdr:colOff>
                    <xdr:row>728</xdr:row>
                    <xdr:rowOff>990600</xdr:rowOff>
                  </from>
                  <to>
                    <xdr:col>9</xdr:col>
                    <xdr:colOff>190500</xdr:colOff>
                    <xdr:row>728</xdr:row>
                    <xdr:rowOff>1268186</xdr:rowOff>
                  </to>
                </anchor>
              </controlPr>
            </control>
          </mc:Choice>
        </mc:AlternateContent>
        <mc:AlternateContent xmlns:mc="http://schemas.openxmlformats.org/markup-compatibility/2006">
          <mc:Choice Requires="x14">
            <control shapeId="9786" r:id="rId285" name="Option Button 570">
              <controlPr defaultSize="0" autoFill="0" autoLine="0" autoPict="0">
                <anchor moveWithCells="1">
                  <from>
                    <xdr:col>3</xdr:col>
                    <xdr:colOff>76200</xdr:colOff>
                    <xdr:row>729</xdr:row>
                    <xdr:rowOff>381000</xdr:rowOff>
                  </from>
                  <to>
                    <xdr:col>9</xdr:col>
                    <xdr:colOff>65314</xdr:colOff>
                    <xdr:row>729</xdr:row>
                    <xdr:rowOff>674914</xdr:rowOff>
                  </to>
                </anchor>
              </controlPr>
            </control>
          </mc:Choice>
        </mc:AlternateContent>
        <mc:AlternateContent xmlns:mc="http://schemas.openxmlformats.org/markup-compatibility/2006">
          <mc:Choice Requires="x14">
            <control shapeId="9787" r:id="rId286" name="Check Box 571">
              <controlPr defaultSize="0" autoFill="0" autoLine="0" autoPict="0">
                <anchor moveWithCells="1">
                  <from>
                    <xdr:col>3</xdr:col>
                    <xdr:colOff>76200</xdr:colOff>
                    <xdr:row>734</xdr:row>
                    <xdr:rowOff>87086</xdr:rowOff>
                  </from>
                  <to>
                    <xdr:col>8</xdr:col>
                    <xdr:colOff>190500</xdr:colOff>
                    <xdr:row>736</xdr:row>
                    <xdr:rowOff>10886</xdr:rowOff>
                  </to>
                </anchor>
              </controlPr>
            </control>
          </mc:Choice>
        </mc:AlternateContent>
        <mc:AlternateContent xmlns:mc="http://schemas.openxmlformats.org/markup-compatibility/2006">
          <mc:Choice Requires="x14">
            <control shapeId="9811" r:id="rId287" name="Option Button 595">
              <controlPr defaultSize="0" autoFill="0" autoLine="0" autoPict="0">
                <anchor moveWithCells="1">
                  <from>
                    <xdr:col>5</xdr:col>
                    <xdr:colOff>190500</xdr:colOff>
                    <xdr:row>304</xdr:row>
                    <xdr:rowOff>114300</xdr:rowOff>
                  </from>
                  <to>
                    <xdr:col>7</xdr:col>
                    <xdr:colOff>163286</xdr:colOff>
                    <xdr:row>306</xdr:row>
                    <xdr:rowOff>48986</xdr:rowOff>
                  </to>
                </anchor>
              </controlPr>
            </control>
          </mc:Choice>
        </mc:AlternateContent>
        <mc:AlternateContent xmlns:mc="http://schemas.openxmlformats.org/markup-compatibility/2006">
          <mc:Choice Requires="x14">
            <control shapeId="9812" r:id="rId288" name="Option Button 596">
              <controlPr defaultSize="0" autoFill="0" autoLine="0" autoPict="0">
                <anchor moveWithCells="1">
                  <from>
                    <xdr:col>7</xdr:col>
                    <xdr:colOff>103414</xdr:colOff>
                    <xdr:row>304</xdr:row>
                    <xdr:rowOff>114300</xdr:rowOff>
                  </from>
                  <to>
                    <xdr:col>9</xdr:col>
                    <xdr:colOff>76200</xdr:colOff>
                    <xdr:row>306</xdr:row>
                    <xdr:rowOff>48986</xdr:rowOff>
                  </to>
                </anchor>
              </controlPr>
            </control>
          </mc:Choice>
        </mc:AlternateContent>
        <mc:AlternateContent xmlns:mc="http://schemas.openxmlformats.org/markup-compatibility/2006">
          <mc:Choice Requires="x14">
            <control shapeId="9818" r:id="rId289" name="Group Box 602">
              <controlPr defaultSize="0" autoFill="0" autoPict="0">
                <anchor moveWithCells="1">
                  <from>
                    <xdr:col>5</xdr:col>
                    <xdr:colOff>10886</xdr:colOff>
                    <xdr:row>298</xdr:row>
                    <xdr:rowOff>27214</xdr:rowOff>
                  </from>
                  <to>
                    <xdr:col>10</xdr:col>
                    <xdr:colOff>201386</xdr:colOff>
                    <xdr:row>300</xdr:row>
                    <xdr:rowOff>76200</xdr:rowOff>
                  </to>
                </anchor>
              </controlPr>
            </control>
          </mc:Choice>
        </mc:AlternateContent>
        <mc:AlternateContent xmlns:mc="http://schemas.openxmlformats.org/markup-compatibility/2006">
          <mc:Choice Requires="x14">
            <control shapeId="9820" r:id="rId290" name="Group Box 604">
              <controlPr defaultSize="0" autoFill="0" autoPict="0">
                <anchor moveWithCells="1">
                  <from>
                    <xdr:col>5</xdr:col>
                    <xdr:colOff>0</xdr:colOff>
                    <xdr:row>302</xdr:row>
                    <xdr:rowOff>76200</xdr:rowOff>
                  </from>
                  <to>
                    <xdr:col>10</xdr:col>
                    <xdr:colOff>190500</xdr:colOff>
                    <xdr:row>304</xdr:row>
                    <xdr:rowOff>48986</xdr:rowOff>
                  </to>
                </anchor>
              </controlPr>
            </control>
          </mc:Choice>
        </mc:AlternateContent>
        <mc:AlternateContent xmlns:mc="http://schemas.openxmlformats.org/markup-compatibility/2006">
          <mc:Choice Requires="x14">
            <control shapeId="9821" r:id="rId291" name="Group Box 605">
              <controlPr defaultSize="0" autoFill="0" autoPict="0">
                <anchor moveWithCells="1">
                  <from>
                    <xdr:col>5</xdr:col>
                    <xdr:colOff>0</xdr:colOff>
                    <xdr:row>304</xdr:row>
                    <xdr:rowOff>48986</xdr:rowOff>
                  </from>
                  <to>
                    <xdr:col>10</xdr:col>
                    <xdr:colOff>190500</xdr:colOff>
                    <xdr:row>307</xdr:row>
                    <xdr:rowOff>0</xdr:rowOff>
                  </to>
                </anchor>
              </controlPr>
            </control>
          </mc:Choice>
        </mc:AlternateContent>
        <mc:AlternateContent xmlns:mc="http://schemas.openxmlformats.org/markup-compatibility/2006">
          <mc:Choice Requires="x14">
            <control shapeId="9822" r:id="rId292" name="Group Box 606">
              <controlPr defaultSize="0" autoFill="0" autoPict="0">
                <anchor moveWithCells="1">
                  <from>
                    <xdr:col>5</xdr:col>
                    <xdr:colOff>10886</xdr:colOff>
                    <xdr:row>300</xdr:row>
                    <xdr:rowOff>76200</xdr:rowOff>
                  </from>
                  <to>
                    <xdr:col>10</xdr:col>
                    <xdr:colOff>201386</xdr:colOff>
                    <xdr:row>302</xdr:row>
                    <xdr:rowOff>76200</xdr:rowOff>
                  </to>
                </anchor>
              </controlPr>
            </control>
          </mc:Choice>
        </mc:AlternateContent>
        <mc:AlternateContent xmlns:mc="http://schemas.openxmlformats.org/markup-compatibility/2006">
          <mc:Choice Requires="x14">
            <control shapeId="9823" r:id="rId293" name="Option Button 607">
              <controlPr defaultSize="0" autoFill="0" autoLine="0" autoPict="0">
                <anchor moveWithCells="1">
                  <from>
                    <xdr:col>5</xdr:col>
                    <xdr:colOff>179614</xdr:colOff>
                    <xdr:row>320</xdr:row>
                    <xdr:rowOff>76200</xdr:rowOff>
                  </from>
                  <to>
                    <xdr:col>7</xdr:col>
                    <xdr:colOff>152400</xdr:colOff>
                    <xdr:row>322</xdr:row>
                    <xdr:rowOff>38100</xdr:rowOff>
                  </to>
                </anchor>
              </controlPr>
            </control>
          </mc:Choice>
        </mc:AlternateContent>
        <mc:AlternateContent xmlns:mc="http://schemas.openxmlformats.org/markup-compatibility/2006">
          <mc:Choice Requires="x14">
            <control shapeId="9824" r:id="rId294" name="Option Button 608">
              <controlPr defaultSize="0" autoFill="0" autoLine="0" autoPict="0">
                <anchor moveWithCells="1">
                  <from>
                    <xdr:col>7</xdr:col>
                    <xdr:colOff>76200</xdr:colOff>
                    <xdr:row>320</xdr:row>
                    <xdr:rowOff>76200</xdr:rowOff>
                  </from>
                  <to>
                    <xdr:col>9</xdr:col>
                    <xdr:colOff>48986</xdr:colOff>
                    <xdr:row>322</xdr:row>
                    <xdr:rowOff>38100</xdr:rowOff>
                  </to>
                </anchor>
              </controlPr>
            </control>
          </mc:Choice>
        </mc:AlternateContent>
        <mc:AlternateContent xmlns:mc="http://schemas.openxmlformats.org/markup-compatibility/2006">
          <mc:Choice Requires="x14">
            <control shapeId="9825" r:id="rId295" name="Group Box 609">
              <controlPr defaultSize="0" autoFill="0" autoPict="0">
                <anchor moveWithCells="1">
                  <from>
                    <xdr:col>5</xdr:col>
                    <xdr:colOff>10886</xdr:colOff>
                    <xdr:row>320</xdr:row>
                    <xdr:rowOff>65314</xdr:rowOff>
                  </from>
                  <to>
                    <xdr:col>10</xdr:col>
                    <xdr:colOff>190500</xdr:colOff>
                    <xdr:row>322</xdr:row>
                    <xdr:rowOff>65314</xdr:rowOff>
                  </to>
                </anchor>
              </controlPr>
            </control>
          </mc:Choice>
        </mc:AlternateContent>
        <mc:AlternateContent xmlns:mc="http://schemas.openxmlformats.org/markup-compatibility/2006">
          <mc:Choice Requires="x14">
            <control shapeId="9828" r:id="rId296" name="Option Button 612">
              <controlPr defaultSize="0" autoFill="0" autoLine="0" autoPict="0">
                <anchor moveWithCells="1">
                  <from>
                    <xdr:col>3</xdr:col>
                    <xdr:colOff>76200</xdr:colOff>
                    <xdr:row>373</xdr:row>
                    <xdr:rowOff>48986</xdr:rowOff>
                  </from>
                  <to>
                    <xdr:col>9</xdr:col>
                    <xdr:colOff>201386</xdr:colOff>
                    <xdr:row>374</xdr:row>
                    <xdr:rowOff>266700</xdr:rowOff>
                  </to>
                </anchor>
              </controlPr>
            </control>
          </mc:Choice>
        </mc:AlternateContent>
        <mc:AlternateContent xmlns:mc="http://schemas.openxmlformats.org/markup-compatibility/2006">
          <mc:Choice Requires="x14">
            <control shapeId="9829" r:id="rId297" name="Option Button 613">
              <controlPr defaultSize="0" autoFill="0" autoLine="0" autoPict="0">
                <anchor moveWithCells="1">
                  <from>
                    <xdr:col>3</xdr:col>
                    <xdr:colOff>76200</xdr:colOff>
                    <xdr:row>375</xdr:row>
                    <xdr:rowOff>65314</xdr:rowOff>
                  </from>
                  <to>
                    <xdr:col>9</xdr:col>
                    <xdr:colOff>201386</xdr:colOff>
                    <xdr:row>376</xdr:row>
                    <xdr:rowOff>277586</xdr:rowOff>
                  </to>
                </anchor>
              </controlPr>
            </control>
          </mc:Choice>
        </mc:AlternateContent>
        <mc:AlternateContent xmlns:mc="http://schemas.openxmlformats.org/markup-compatibility/2006">
          <mc:Choice Requires="x14">
            <control shapeId="9830" r:id="rId298" name="Option Button 614">
              <controlPr defaultSize="0" autoFill="0" autoLine="0" autoPict="0">
                <anchor moveWithCells="1">
                  <from>
                    <xdr:col>3</xdr:col>
                    <xdr:colOff>76200</xdr:colOff>
                    <xdr:row>377</xdr:row>
                    <xdr:rowOff>48986</xdr:rowOff>
                  </from>
                  <to>
                    <xdr:col>9</xdr:col>
                    <xdr:colOff>190500</xdr:colOff>
                    <xdr:row>378</xdr:row>
                    <xdr:rowOff>255814</xdr:rowOff>
                  </to>
                </anchor>
              </controlPr>
            </control>
          </mc:Choice>
        </mc:AlternateContent>
        <mc:AlternateContent xmlns:mc="http://schemas.openxmlformats.org/markup-compatibility/2006">
          <mc:Choice Requires="x14">
            <control shapeId="9831" r:id="rId299" name="Option Button 615">
              <controlPr defaultSize="0" autoFill="0" autoLine="0" autoPict="0">
                <anchor moveWithCells="1">
                  <from>
                    <xdr:col>3</xdr:col>
                    <xdr:colOff>76200</xdr:colOff>
                    <xdr:row>379</xdr:row>
                    <xdr:rowOff>48986</xdr:rowOff>
                  </from>
                  <to>
                    <xdr:col>9</xdr:col>
                    <xdr:colOff>190500</xdr:colOff>
                    <xdr:row>380</xdr:row>
                    <xdr:rowOff>266700</xdr:rowOff>
                  </to>
                </anchor>
              </controlPr>
            </control>
          </mc:Choice>
        </mc:AlternateContent>
        <mc:AlternateContent xmlns:mc="http://schemas.openxmlformats.org/markup-compatibility/2006">
          <mc:Choice Requires="x14">
            <control shapeId="9832" r:id="rId300" name="Option Button 616">
              <controlPr defaultSize="0" autoFill="0" autoLine="0" autoPict="0">
                <anchor moveWithCells="1">
                  <from>
                    <xdr:col>3</xdr:col>
                    <xdr:colOff>76200</xdr:colOff>
                    <xdr:row>381</xdr:row>
                    <xdr:rowOff>48986</xdr:rowOff>
                  </from>
                  <to>
                    <xdr:col>9</xdr:col>
                    <xdr:colOff>152400</xdr:colOff>
                    <xdr:row>383</xdr:row>
                    <xdr:rowOff>48986</xdr:rowOff>
                  </to>
                </anchor>
              </controlPr>
            </control>
          </mc:Choice>
        </mc:AlternateContent>
        <mc:AlternateContent xmlns:mc="http://schemas.openxmlformats.org/markup-compatibility/2006">
          <mc:Choice Requires="x14">
            <control shapeId="9836" r:id="rId301" name="Group Box 620">
              <controlPr defaultSize="0" autoFill="0" autoPict="0">
                <anchor moveWithCells="1">
                  <from>
                    <xdr:col>1</xdr:col>
                    <xdr:colOff>201386</xdr:colOff>
                    <xdr:row>421</xdr:row>
                    <xdr:rowOff>0</xdr:rowOff>
                  </from>
                  <to>
                    <xdr:col>10</xdr:col>
                    <xdr:colOff>76200</xdr:colOff>
                    <xdr:row>432</xdr:row>
                    <xdr:rowOff>0</xdr:rowOff>
                  </to>
                </anchor>
              </controlPr>
            </control>
          </mc:Choice>
        </mc:AlternateContent>
        <mc:AlternateContent xmlns:mc="http://schemas.openxmlformats.org/markup-compatibility/2006">
          <mc:Choice Requires="x14">
            <control shapeId="9837" r:id="rId302" name="Group Box 621">
              <controlPr defaultSize="0" autoFill="0" autoPict="0">
                <anchor moveWithCells="1">
                  <from>
                    <xdr:col>2</xdr:col>
                    <xdr:colOff>10886</xdr:colOff>
                    <xdr:row>436</xdr:row>
                    <xdr:rowOff>190500</xdr:rowOff>
                  </from>
                  <to>
                    <xdr:col>10</xdr:col>
                    <xdr:colOff>87086</xdr:colOff>
                    <xdr:row>448</xdr:row>
                    <xdr:rowOff>0</xdr:rowOff>
                  </to>
                </anchor>
              </controlPr>
            </control>
          </mc:Choice>
        </mc:AlternateContent>
        <mc:AlternateContent xmlns:mc="http://schemas.openxmlformats.org/markup-compatibility/2006">
          <mc:Choice Requires="x14">
            <control shapeId="9838" r:id="rId303" name="Group Box 622">
              <controlPr defaultSize="0" autoFill="0" autoPict="0">
                <anchor moveWithCells="1">
                  <from>
                    <xdr:col>1</xdr:col>
                    <xdr:colOff>201386</xdr:colOff>
                    <xdr:row>526</xdr:row>
                    <xdr:rowOff>239486</xdr:rowOff>
                  </from>
                  <to>
                    <xdr:col>10</xdr:col>
                    <xdr:colOff>125186</xdr:colOff>
                    <xdr:row>538</xdr:row>
                    <xdr:rowOff>0</xdr:rowOff>
                  </to>
                </anchor>
              </controlPr>
            </control>
          </mc:Choice>
        </mc:AlternateContent>
        <mc:AlternateContent xmlns:mc="http://schemas.openxmlformats.org/markup-compatibility/2006">
          <mc:Choice Requires="x14">
            <control shapeId="9839" r:id="rId304" name="Group Box 623">
              <controlPr defaultSize="0" autoFill="0" autoPict="0">
                <anchor moveWithCells="1">
                  <from>
                    <xdr:col>2</xdr:col>
                    <xdr:colOff>10886</xdr:colOff>
                    <xdr:row>543</xdr:row>
                    <xdr:rowOff>0</xdr:rowOff>
                  </from>
                  <to>
                    <xdr:col>10</xdr:col>
                    <xdr:colOff>103414</xdr:colOff>
                    <xdr:row>554</xdr:row>
                    <xdr:rowOff>0</xdr:rowOff>
                  </to>
                </anchor>
              </controlPr>
            </control>
          </mc:Choice>
        </mc:AlternateContent>
        <mc:AlternateContent xmlns:mc="http://schemas.openxmlformats.org/markup-compatibility/2006">
          <mc:Choice Requires="x14">
            <control shapeId="9840" r:id="rId305" name="Group Box 624">
              <controlPr defaultSize="0" autoFill="0" autoPict="0">
                <anchor moveWithCells="1">
                  <from>
                    <xdr:col>1</xdr:col>
                    <xdr:colOff>201386</xdr:colOff>
                    <xdr:row>559</xdr:row>
                    <xdr:rowOff>0</xdr:rowOff>
                  </from>
                  <to>
                    <xdr:col>10</xdr:col>
                    <xdr:colOff>114300</xdr:colOff>
                    <xdr:row>570</xdr:row>
                    <xdr:rowOff>0</xdr:rowOff>
                  </to>
                </anchor>
              </controlPr>
            </control>
          </mc:Choice>
        </mc:AlternateContent>
        <mc:AlternateContent xmlns:mc="http://schemas.openxmlformats.org/markup-compatibility/2006">
          <mc:Choice Requires="x14">
            <control shapeId="9841" r:id="rId306" name="Group Box 625">
              <controlPr defaultSize="0" autoFill="0" autoPict="0">
                <anchor moveWithCells="1">
                  <from>
                    <xdr:col>1</xdr:col>
                    <xdr:colOff>190500</xdr:colOff>
                    <xdr:row>575</xdr:row>
                    <xdr:rowOff>0</xdr:rowOff>
                  </from>
                  <to>
                    <xdr:col>10</xdr:col>
                    <xdr:colOff>114300</xdr:colOff>
                    <xdr:row>587</xdr:row>
                    <xdr:rowOff>0</xdr:rowOff>
                  </to>
                </anchor>
              </controlPr>
            </control>
          </mc:Choice>
        </mc:AlternateContent>
        <mc:AlternateContent xmlns:mc="http://schemas.openxmlformats.org/markup-compatibility/2006">
          <mc:Choice Requires="x14">
            <control shapeId="9842" r:id="rId307" name="Group Box 626">
              <controlPr defaultSize="0" autoFill="0" autoPict="0">
                <anchor moveWithCells="1">
                  <from>
                    <xdr:col>2</xdr:col>
                    <xdr:colOff>27214</xdr:colOff>
                    <xdr:row>592</xdr:row>
                    <xdr:rowOff>0</xdr:rowOff>
                  </from>
                  <to>
                    <xdr:col>10</xdr:col>
                    <xdr:colOff>125186</xdr:colOff>
                    <xdr:row>603</xdr:row>
                    <xdr:rowOff>0</xdr:rowOff>
                  </to>
                </anchor>
              </controlPr>
            </control>
          </mc:Choice>
        </mc:AlternateContent>
        <mc:AlternateContent xmlns:mc="http://schemas.openxmlformats.org/markup-compatibility/2006">
          <mc:Choice Requires="x14">
            <control shapeId="9843" r:id="rId308" name="Group Box 627">
              <controlPr defaultSize="0" autoFill="0" autoPict="0">
                <anchor moveWithCells="1">
                  <from>
                    <xdr:col>2</xdr:col>
                    <xdr:colOff>10886</xdr:colOff>
                    <xdr:row>389</xdr:row>
                    <xdr:rowOff>0</xdr:rowOff>
                  </from>
                  <to>
                    <xdr:col>10</xdr:col>
                    <xdr:colOff>114300</xdr:colOff>
                    <xdr:row>400</xdr:row>
                    <xdr:rowOff>0</xdr:rowOff>
                  </to>
                </anchor>
              </controlPr>
            </control>
          </mc:Choice>
        </mc:AlternateContent>
        <mc:AlternateContent xmlns:mc="http://schemas.openxmlformats.org/markup-compatibility/2006">
          <mc:Choice Requires="x14">
            <control shapeId="9844" r:id="rId309" name="Group Box 628">
              <controlPr defaultSize="0" autoFill="0" autoPict="0">
                <anchor moveWithCells="1">
                  <from>
                    <xdr:col>2</xdr:col>
                    <xdr:colOff>10886</xdr:colOff>
                    <xdr:row>608</xdr:row>
                    <xdr:rowOff>0</xdr:rowOff>
                  </from>
                  <to>
                    <xdr:col>10</xdr:col>
                    <xdr:colOff>114300</xdr:colOff>
                    <xdr:row>626</xdr:row>
                    <xdr:rowOff>0</xdr:rowOff>
                  </to>
                </anchor>
              </controlPr>
            </control>
          </mc:Choice>
        </mc:AlternateContent>
        <mc:AlternateContent xmlns:mc="http://schemas.openxmlformats.org/markup-compatibility/2006">
          <mc:Choice Requires="x14">
            <control shapeId="9851" r:id="rId310" name="Group Box 635">
              <controlPr defaultSize="0" autoFill="0" autoPict="0">
                <anchor moveWithCells="1">
                  <from>
                    <xdr:col>1</xdr:col>
                    <xdr:colOff>190500</xdr:colOff>
                    <xdr:row>724</xdr:row>
                    <xdr:rowOff>239486</xdr:rowOff>
                  </from>
                  <to>
                    <xdr:col>10</xdr:col>
                    <xdr:colOff>114300</xdr:colOff>
                    <xdr:row>734</xdr:row>
                    <xdr:rowOff>87086</xdr:rowOff>
                  </to>
                </anchor>
              </controlPr>
            </control>
          </mc:Choice>
        </mc:AlternateContent>
        <mc:AlternateContent xmlns:mc="http://schemas.openxmlformats.org/markup-compatibility/2006">
          <mc:Choice Requires="x14">
            <control shapeId="9852" r:id="rId311" name="Group Box 636">
              <controlPr defaultSize="0" autoFill="0" autoPict="0">
                <anchor moveWithCells="1">
                  <from>
                    <xdr:col>2</xdr:col>
                    <xdr:colOff>0</xdr:colOff>
                    <xdr:row>742</xdr:row>
                    <xdr:rowOff>0</xdr:rowOff>
                  </from>
                  <to>
                    <xdr:col>10</xdr:col>
                    <xdr:colOff>114300</xdr:colOff>
                    <xdr:row>753</xdr:row>
                    <xdr:rowOff>0</xdr:rowOff>
                  </to>
                </anchor>
              </controlPr>
            </control>
          </mc:Choice>
        </mc:AlternateContent>
        <mc:AlternateContent xmlns:mc="http://schemas.openxmlformats.org/markup-compatibility/2006">
          <mc:Choice Requires="x14">
            <control shapeId="9854" r:id="rId312" name="Group Box 638">
              <controlPr defaultSize="0" autoFill="0" autoPict="0">
                <anchor moveWithCells="1">
                  <from>
                    <xdr:col>2</xdr:col>
                    <xdr:colOff>10886</xdr:colOff>
                    <xdr:row>373</xdr:row>
                    <xdr:rowOff>10886</xdr:rowOff>
                  </from>
                  <to>
                    <xdr:col>10</xdr:col>
                    <xdr:colOff>125186</xdr:colOff>
                    <xdr:row>383</xdr:row>
                    <xdr:rowOff>65314</xdr:rowOff>
                  </to>
                </anchor>
              </controlPr>
            </control>
          </mc:Choice>
        </mc:AlternateContent>
        <mc:AlternateContent xmlns:mc="http://schemas.openxmlformats.org/markup-compatibility/2006">
          <mc:Choice Requires="x14">
            <control shapeId="9858" r:id="rId313" name="Option Button 642">
              <controlPr defaultSize="0" autoFill="0" autoLine="0" autoPict="0">
                <anchor moveWithCells="1">
                  <from>
                    <xdr:col>3</xdr:col>
                    <xdr:colOff>76200</xdr:colOff>
                    <xdr:row>637</xdr:row>
                    <xdr:rowOff>38100</xdr:rowOff>
                  </from>
                  <to>
                    <xdr:col>9</xdr:col>
                    <xdr:colOff>190500</xdr:colOff>
                    <xdr:row>638</xdr:row>
                    <xdr:rowOff>239486</xdr:rowOff>
                  </to>
                </anchor>
              </controlPr>
            </control>
          </mc:Choice>
        </mc:AlternateContent>
        <mc:AlternateContent xmlns:mc="http://schemas.openxmlformats.org/markup-compatibility/2006">
          <mc:Choice Requires="x14">
            <control shapeId="9859" r:id="rId314" name="Option Button 643">
              <controlPr defaultSize="0" autoFill="0" autoLine="0" autoPict="0">
                <anchor moveWithCells="1">
                  <from>
                    <xdr:col>3</xdr:col>
                    <xdr:colOff>76200</xdr:colOff>
                    <xdr:row>639</xdr:row>
                    <xdr:rowOff>48986</xdr:rowOff>
                  </from>
                  <to>
                    <xdr:col>9</xdr:col>
                    <xdr:colOff>190500</xdr:colOff>
                    <xdr:row>640</xdr:row>
                    <xdr:rowOff>255814</xdr:rowOff>
                  </to>
                </anchor>
              </controlPr>
            </control>
          </mc:Choice>
        </mc:AlternateContent>
        <mc:AlternateContent xmlns:mc="http://schemas.openxmlformats.org/markup-compatibility/2006">
          <mc:Choice Requires="x14">
            <control shapeId="9860" r:id="rId315" name="Option Button 644">
              <controlPr defaultSize="0" autoFill="0" autoLine="0" autoPict="0">
                <anchor moveWithCells="1">
                  <from>
                    <xdr:col>3</xdr:col>
                    <xdr:colOff>76200</xdr:colOff>
                    <xdr:row>641</xdr:row>
                    <xdr:rowOff>48986</xdr:rowOff>
                  </from>
                  <to>
                    <xdr:col>9</xdr:col>
                    <xdr:colOff>190500</xdr:colOff>
                    <xdr:row>642</xdr:row>
                    <xdr:rowOff>255814</xdr:rowOff>
                  </to>
                </anchor>
              </controlPr>
            </control>
          </mc:Choice>
        </mc:AlternateContent>
        <mc:AlternateContent xmlns:mc="http://schemas.openxmlformats.org/markup-compatibility/2006">
          <mc:Choice Requires="x14">
            <control shapeId="9861" r:id="rId316" name="Option Button 645">
              <controlPr defaultSize="0" autoFill="0" autoLine="0" autoPict="0">
                <anchor moveWithCells="1">
                  <from>
                    <xdr:col>3</xdr:col>
                    <xdr:colOff>65314</xdr:colOff>
                    <xdr:row>643</xdr:row>
                    <xdr:rowOff>48986</xdr:rowOff>
                  </from>
                  <to>
                    <xdr:col>9</xdr:col>
                    <xdr:colOff>179614</xdr:colOff>
                    <xdr:row>644</xdr:row>
                    <xdr:rowOff>255814</xdr:rowOff>
                  </to>
                </anchor>
              </controlPr>
            </control>
          </mc:Choice>
        </mc:AlternateContent>
        <mc:AlternateContent xmlns:mc="http://schemas.openxmlformats.org/markup-compatibility/2006">
          <mc:Choice Requires="x14">
            <control shapeId="9862" r:id="rId317" name="Option Button 646">
              <controlPr defaultSize="0" autoFill="0" autoLine="0" autoPict="0">
                <anchor moveWithCells="1">
                  <from>
                    <xdr:col>3</xdr:col>
                    <xdr:colOff>76200</xdr:colOff>
                    <xdr:row>645</xdr:row>
                    <xdr:rowOff>48986</xdr:rowOff>
                  </from>
                  <to>
                    <xdr:col>9</xdr:col>
                    <xdr:colOff>190500</xdr:colOff>
                    <xdr:row>646</xdr:row>
                    <xdr:rowOff>255814</xdr:rowOff>
                  </to>
                </anchor>
              </controlPr>
            </control>
          </mc:Choice>
        </mc:AlternateContent>
        <mc:AlternateContent xmlns:mc="http://schemas.openxmlformats.org/markup-compatibility/2006">
          <mc:Choice Requires="x14">
            <control shapeId="9863" r:id="rId318" name="Option Button 647">
              <controlPr defaultSize="0" autoFill="0" autoLine="0" autoPict="0">
                <anchor moveWithCells="1">
                  <from>
                    <xdr:col>3</xdr:col>
                    <xdr:colOff>76200</xdr:colOff>
                    <xdr:row>635</xdr:row>
                    <xdr:rowOff>27214</xdr:rowOff>
                  </from>
                  <to>
                    <xdr:col>9</xdr:col>
                    <xdr:colOff>190500</xdr:colOff>
                    <xdr:row>637</xdr:row>
                    <xdr:rowOff>10886</xdr:rowOff>
                  </to>
                </anchor>
              </controlPr>
            </control>
          </mc:Choice>
        </mc:AlternateContent>
        <mc:AlternateContent xmlns:mc="http://schemas.openxmlformats.org/markup-compatibility/2006">
          <mc:Choice Requires="x14">
            <control shapeId="9879" r:id="rId319" name="Group Box 663">
              <controlPr defaultSize="0" autoFill="0" autoPict="0">
                <anchor moveWithCells="1">
                  <from>
                    <xdr:col>2</xdr:col>
                    <xdr:colOff>0</xdr:colOff>
                    <xdr:row>635</xdr:row>
                    <xdr:rowOff>0</xdr:rowOff>
                  </from>
                  <to>
                    <xdr:col>10</xdr:col>
                    <xdr:colOff>103414</xdr:colOff>
                    <xdr:row>647</xdr:row>
                    <xdr:rowOff>48986</xdr:rowOff>
                  </to>
                </anchor>
              </controlPr>
            </control>
          </mc:Choice>
        </mc:AlternateContent>
        <mc:AlternateContent xmlns:mc="http://schemas.openxmlformats.org/markup-compatibility/2006">
          <mc:Choice Requires="x14">
            <control shapeId="9880" r:id="rId320" name="Group Box 664">
              <controlPr defaultSize="0" autoFill="0" autoPict="0">
                <anchor moveWithCells="1">
                  <from>
                    <xdr:col>1</xdr:col>
                    <xdr:colOff>201386</xdr:colOff>
                    <xdr:row>653</xdr:row>
                    <xdr:rowOff>0</xdr:rowOff>
                  </from>
                  <to>
                    <xdr:col>10</xdr:col>
                    <xdr:colOff>125186</xdr:colOff>
                    <xdr:row>666</xdr:row>
                    <xdr:rowOff>0</xdr:rowOff>
                  </to>
                </anchor>
              </controlPr>
            </control>
          </mc:Choice>
        </mc:AlternateContent>
        <mc:AlternateContent xmlns:mc="http://schemas.openxmlformats.org/markup-compatibility/2006">
          <mc:Choice Requires="x14">
            <control shapeId="9881" r:id="rId321" name="Group Box 665">
              <controlPr defaultSize="0" autoFill="0" autoPict="0">
                <anchor moveWithCells="1">
                  <from>
                    <xdr:col>1</xdr:col>
                    <xdr:colOff>201386</xdr:colOff>
                    <xdr:row>672</xdr:row>
                    <xdr:rowOff>10886</xdr:rowOff>
                  </from>
                  <to>
                    <xdr:col>10</xdr:col>
                    <xdr:colOff>125186</xdr:colOff>
                    <xdr:row>681</xdr:row>
                    <xdr:rowOff>332014</xdr:rowOff>
                  </to>
                </anchor>
              </controlPr>
            </control>
          </mc:Choice>
        </mc:AlternateContent>
        <mc:AlternateContent xmlns:mc="http://schemas.openxmlformats.org/markup-compatibility/2006">
          <mc:Choice Requires="x14">
            <control shapeId="9882" r:id="rId322" name="Group Box 666">
              <controlPr defaultSize="0" autoFill="0" autoPict="0">
                <anchor moveWithCells="1">
                  <from>
                    <xdr:col>1</xdr:col>
                    <xdr:colOff>190500</xdr:colOff>
                    <xdr:row>687</xdr:row>
                    <xdr:rowOff>239486</xdr:rowOff>
                  </from>
                  <to>
                    <xdr:col>10</xdr:col>
                    <xdr:colOff>125186</xdr:colOff>
                    <xdr:row>698</xdr:row>
                    <xdr:rowOff>48986</xdr:rowOff>
                  </to>
                </anchor>
              </controlPr>
            </control>
          </mc:Choice>
        </mc:AlternateContent>
        <mc:AlternateContent xmlns:mc="http://schemas.openxmlformats.org/markup-compatibility/2006">
          <mc:Choice Requires="x14">
            <control shapeId="9883" r:id="rId323" name="Group Box 667">
              <controlPr defaultSize="0" autoFill="0" autoPict="0">
                <anchor moveWithCells="1">
                  <from>
                    <xdr:col>1</xdr:col>
                    <xdr:colOff>201386</xdr:colOff>
                    <xdr:row>704</xdr:row>
                    <xdr:rowOff>0</xdr:rowOff>
                  </from>
                  <to>
                    <xdr:col>10</xdr:col>
                    <xdr:colOff>141514</xdr:colOff>
                    <xdr:row>717</xdr:row>
                    <xdr:rowOff>0</xdr:rowOff>
                  </to>
                </anchor>
              </controlPr>
            </control>
          </mc:Choice>
        </mc:AlternateContent>
        <mc:AlternateContent xmlns:mc="http://schemas.openxmlformats.org/markup-compatibility/2006">
          <mc:Choice Requires="x14">
            <control shapeId="9909" r:id="rId324" name="Check Box 693">
              <controlPr defaultSize="0" autoFill="0" autoLine="0" autoPict="0">
                <anchor moveWithCells="1">
                  <from>
                    <xdr:col>22</xdr:col>
                    <xdr:colOff>38100</xdr:colOff>
                    <xdr:row>312</xdr:row>
                    <xdr:rowOff>38100</xdr:rowOff>
                  </from>
                  <to>
                    <xdr:col>28</xdr:col>
                    <xdr:colOff>152400</xdr:colOff>
                    <xdr:row>314</xdr:row>
                    <xdr:rowOff>38100</xdr:rowOff>
                  </to>
                </anchor>
              </controlPr>
            </control>
          </mc:Choice>
        </mc:AlternateContent>
        <mc:AlternateContent xmlns:mc="http://schemas.openxmlformats.org/markup-compatibility/2006">
          <mc:Choice Requires="x14">
            <control shapeId="9919" r:id="rId325" name="Group Box 703">
              <controlPr defaultSize="0" autoFill="0" autoPict="0">
                <anchor moveWithCells="1">
                  <from>
                    <xdr:col>2</xdr:col>
                    <xdr:colOff>0</xdr:colOff>
                    <xdr:row>405</xdr:row>
                    <xdr:rowOff>0</xdr:rowOff>
                  </from>
                  <to>
                    <xdr:col>10</xdr:col>
                    <xdr:colOff>87086</xdr:colOff>
                    <xdr:row>415</xdr:row>
                    <xdr:rowOff>65314</xdr:rowOff>
                  </to>
                </anchor>
              </controlPr>
            </control>
          </mc:Choice>
        </mc:AlternateContent>
        <mc:AlternateContent xmlns:mc="http://schemas.openxmlformats.org/markup-compatibility/2006">
          <mc:Choice Requires="x14">
            <control shapeId="9926" r:id="rId326" name="Option Button 710">
              <controlPr defaultSize="0" autoFill="0" autoLine="0" autoPict="0">
                <anchor moveWithCells="1">
                  <from>
                    <xdr:col>7</xdr:col>
                    <xdr:colOff>87086</xdr:colOff>
                    <xdr:row>206</xdr:row>
                    <xdr:rowOff>0</xdr:rowOff>
                  </from>
                  <to>
                    <xdr:col>9</xdr:col>
                    <xdr:colOff>65314</xdr:colOff>
                    <xdr:row>206</xdr:row>
                    <xdr:rowOff>293914</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V1752"/>
  <sheetViews>
    <sheetView showZeros="0" workbookViewId="0"/>
  </sheetViews>
  <sheetFormatPr defaultColWidth="2.4609375" defaultRowHeight="12.45" x14ac:dyDescent="0.3"/>
  <cols>
    <col min="1" max="1" width="1.3046875" style="88" customWidth="1"/>
    <col min="2" max="2" width="2.4609375" style="87"/>
    <col min="8" max="8" width="2.4609375" customWidth="1"/>
    <col min="37" max="37" width="2.69140625" customWidth="1"/>
    <col min="44" max="44" width="2.69140625" customWidth="1"/>
    <col min="46" max="46" width="2.4609375" customWidth="1"/>
    <col min="48" max="49" width="2.4609375" customWidth="1"/>
  </cols>
  <sheetData>
    <row r="1" spans="1:48" ht="12.75" customHeight="1" x14ac:dyDescent="0.3">
      <c r="A1" s="86"/>
      <c r="B1" s="688" t="s">
        <v>152</v>
      </c>
      <c r="C1" s="688"/>
      <c r="D1" s="688"/>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8"/>
      <c r="AI1" s="688"/>
      <c r="AJ1" s="688"/>
      <c r="AK1" s="688"/>
      <c r="AL1" s="688"/>
      <c r="AM1" s="688"/>
      <c r="AN1" s="688"/>
      <c r="AO1" s="688"/>
      <c r="AP1" s="688"/>
      <c r="AQ1" s="688"/>
      <c r="AR1" s="688"/>
      <c r="AS1" s="626"/>
      <c r="AT1" s="626"/>
    </row>
    <row r="2" spans="1:48" ht="12.75" customHeight="1" x14ac:dyDescent="0.3">
      <c r="A2" s="86"/>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row>
    <row r="3" spans="1:48" x14ac:dyDescent="0.3">
      <c r="A3" s="4"/>
      <c r="B3" s="60"/>
      <c r="C3" s="1"/>
      <c r="D3" s="1"/>
      <c r="E3" s="1"/>
      <c r="F3" s="11"/>
      <c r="G3" s="628"/>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885" t="str">
        <f>START!AO1</f>
        <v>version 7.1.01</v>
      </c>
      <c r="AP3" s="886"/>
      <c r="AQ3" s="886"/>
      <c r="AR3" s="886"/>
    </row>
    <row r="4" spans="1:48" x14ac:dyDescent="0.3">
      <c r="A4" s="4"/>
      <c r="B4" s="23"/>
      <c r="C4" s="12"/>
      <c r="D4" s="594"/>
      <c r="E4" s="23"/>
      <c r="F4" s="595" t="str">
        <f>START!F13</f>
        <v xml:space="preserve">ASSOCIATION     </v>
      </c>
      <c r="G4" s="695" t="str">
        <f>START!G13</f>
        <v/>
      </c>
      <c r="H4" s="696"/>
      <c r="I4" s="696"/>
      <c r="J4" s="696"/>
      <c r="K4" s="696"/>
      <c r="L4" s="696"/>
      <c r="M4" s="696"/>
      <c r="N4" s="696"/>
      <c r="O4" s="696"/>
      <c r="P4" s="696"/>
      <c r="Q4" s="696"/>
      <c r="R4" s="696"/>
      <c r="S4" s="696"/>
      <c r="T4" s="696"/>
      <c r="U4" s="696"/>
      <c r="V4" s="696"/>
      <c r="W4" s="696"/>
      <c r="X4" s="696"/>
      <c r="Y4" s="696"/>
      <c r="Z4" s="696"/>
      <c r="AA4" s="697"/>
      <c r="AB4" s="599" t="s">
        <v>189</v>
      </c>
      <c r="AC4" s="695">
        <f>START!R7</f>
        <v>0</v>
      </c>
      <c r="AD4" s="696"/>
      <c r="AE4" s="697"/>
      <c r="AF4" s="23"/>
      <c r="AG4" s="671" t="str">
        <f>START!AG13</f>
        <v>TITLE</v>
      </c>
      <c r="AH4" s="671"/>
      <c r="AI4" s="888"/>
      <c r="AJ4" s="672" t="str">
        <f>START!AJ13</f>
        <v/>
      </c>
      <c r="AK4" s="669"/>
      <c r="AL4" s="669"/>
      <c r="AM4" s="669"/>
      <c r="AN4" s="669"/>
      <c r="AO4" s="669"/>
      <c r="AP4" s="669"/>
      <c r="AQ4" s="669"/>
      <c r="AR4" s="670"/>
      <c r="AV4" s="81"/>
    </row>
    <row r="5" spans="1:48" ht="4.5" customHeight="1" x14ac:dyDescent="0.3">
      <c r="A5" s="4"/>
      <c r="B5" s="23"/>
      <c r="C5" s="12"/>
      <c r="D5" s="594"/>
      <c r="E5" s="23"/>
      <c r="F5" s="16"/>
      <c r="G5" s="600"/>
      <c r="H5" s="600"/>
      <c r="I5" s="600"/>
      <c r="J5" s="600"/>
      <c r="K5" s="600"/>
      <c r="L5" s="600"/>
      <c r="M5" s="600"/>
      <c r="N5" s="600"/>
      <c r="O5" s="600"/>
      <c r="P5" s="600"/>
      <c r="Q5" s="600"/>
      <c r="R5" s="600"/>
      <c r="S5" s="600"/>
      <c r="T5" s="600"/>
      <c r="U5" s="600"/>
      <c r="V5" s="600"/>
      <c r="W5" s="600"/>
      <c r="X5" s="600"/>
      <c r="Y5" s="600"/>
      <c r="Z5" s="600"/>
      <c r="AA5" s="600"/>
      <c r="AB5" s="601"/>
      <c r="AC5" s="600"/>
      <c r="AD5" s="600"/>
      <c r="AE5" s="600"/>
      <c r="AF5" s="16"/>
      <c r="AG5" s="602"/>
      <c r="AH5" s="602"/>
      <c r="AI5" s="602"/>
      <c r="AJ5" s="598"/>
      <c r="AK5" s="598"/>
      <c r="AL5" s="598"/>
      <c r="AM5" s="598"/>
      <c r="AN5" s="598"/>
      <c r="AO5" s="598"/>
      <c r="AP5" s="598"/>
      <c r="AQ5" s="598"/>
      <c r="AR5" s="598"/>
    </row>
    <row r="6" spans="1:48" x14ac:dyDescent="0.3">
      <c r="A6" s="4"/>
      <c r="B6" s="23"/>
      <c r="C6" s="12"/>
      <c r="D6" s="594"/>
      <c r="E6" s="593" t="str">
        <f>START!E15</f>
        <v xml:space="preserve">ADDRESS     </v>
      </c>
      <c r="F6" s="16"/>
      <c r="G6" s="695" t="str">
        <f>START!G15</f>
        <v/>
      </c>
      <c r="H6" s="696"/>
      <c r="I6" s="696"/>
      <c r="J6" s="696"/>
      <c r="K6" s="696"/>
      <c r="L6" s="696"/>
      <c r="M6" s="696"/>
      <c r="N6" s="696"/>
      <c r="O6" s="696"/>
      <c r="P6" s="696"/>
      <c r="Q6" s="696"/>
      <c r="R6" s="696"/>
      <c r="S6" s="696"/>
      <c r="T6" s="696"/>
      <c r="U6" s="696"/>
      <c r="V6" s="696"/>
      <c r="W6" s="696"/>
      <c r="X6" s="696"/>
      <c r="Y6" s="696"/>
      <c r="Z6" s="696"/>
      <c r="AA6" s="696"/>
      <c r="AB6" s="696"/>
      <c r="AC6" s="696"/>
      <c r="AD6" s="696"/>
      <c r="AE6" s="697"/>
      <c r="AF6" s="23"/>
      <c r="AG6" s="671" t="str">
        <f>START!AG15</f>
        <v>TITLE</v>
      </c>
      <c r="AH6" s="671"/>
      <c r="AI6" s="888"/>
      <c r="AJ6" s="672">
        <f>START!AJ15</f>
        <v>0</v>
      </c>
      <c r="AK6" s="669"/>
      <c r="AL6" s="669"/>
      <c r="AM6" s="669"/>
      <c r="AN6" s="669"/>
      <c r="AO6" s="669"/>
      <c r="AP6" s="669"/>
      <c r="AQ6" s="669"/>
      <c r="AR6" s="670"/>
    </row>
    <row r="7" spans="1:48" ht="4.5" customHeight="1" x14ac:dyDescent="0.3">
      <c r="A7" s="4"/>
      <c r="B7" s="23"/>
      <c r="C7" s="23"/>
      <c r="D7" s="23"/>
      <c r="E7" s="593"/>
      <c r="F7" s="16"/>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23"/>
      <c r="AG7" s="23"/>
      <c r="AH7" s="23"/>
      <c r="AI7" s="23"/>
      <c r="AJ7" s="664"/>
      <c r="AK7" s="664"/>
      <c r="AL7" s="664"/>
      <c r="AM7" s="664"/>
      <c r="AN7" s="664"/>
      <c r="AO7" s="664"/>
      <c r="AP7" s="664"/>
      <c r="AQ7" s="664"/>
      <c r="AR7" s="664"/>
    </row>
    <row r="8" spans="1:48" x14ac:dyDescent="0.3">
      <c r="A8" s="4"/>
      <c r="B8" s="23"/>
      <c r="C8" s="12"/>
      <c r="D8" s="594"/>
      <c r="E8" s="593" t="str">
        <f>START!E17</f>
        <v xml:space="preserve">CITY-ST-ZIP </v>
      </c>
      <c r="F8" s="16"/>
      <c r="G8" s="695" t="str">
        <f>START!G17</f>
        <v/>
      </c>
      <c r="H8" s="696"/>
      <c r="I8" s="696"/>
      <c r="J8" s="696"/>
      <c r="K8" s="696"/>
      <c r="L8" s="696"/>
      <c r="M8" s="696"/>
      <c r="N8" s="696"/>
      <c r="O8" s="696"/>
      <c r="P8" s="696"/>
      <c r="Q8" s="696"/>
      <c r="R8" s="696"/>
      <c r="S8" s="696"/>
      <c r="T8" s="696"/>
      <c r="U8" s="696"/>
      <c r="V8" s="696"/>
      <c r="W8" s="697"/>
      <c r="X8" s="14" t="s">
        <v>257</v>
      </c>
      <c r="Y8" s="603"/>
      <c r="Z8" s="695" t="str">
        <f>START!Z17</f>
        <v/>
      </c>
      <c r="AA8" s="696"/>
      <c r="AB8" s="696"/>
      <c r="AC8" s="696"/>
      <c r="AD8" s="696"/>
      <c r="AE8" s="697"/>
      <c r="AF8" s="23"/>
      <c r="AG8" s="671" t="str">
        <f>START!AG17</f>
        <v>TITLE</v>
      </c>
      <c r="AH8" s="671"/>
      <c r="AI8" s="888"/>
      <c r="AJ8" s="672">
        <f>START!AJ17</f>
        <v>0</v>
      </c>
      <c r="AK8" s="669"/>
      <c r="AL8" s="669"/>
      <c r="AM8" s="669"/>
      <c r="AN8" s="669"/>
      <c r="AO8" s="669"/>
      <c r="AP8" s="669"/>
      <c r="AQ8" s="669"/>
      <c r="AR8" s="670"/>
    </row>
    <row r="9" spans="1:48" ht="4.5" customHeight="1" x14ac:dyDescent="0.3">
      <c r="A9" s="4"/>
      <c r="B9" s="23"/>
      <c r="C9" s="23"/>
      <c r="D9" s="23"/>
      <c r="E9" s="593"/>
      <c r="F9" s="16"/>
      <c r="G9" s="663"/>
      <c r="H9" s="663"/>
      <c r="I9" s="663"/>
      <c r="J9" s="663"/>
      <c r="K9" s="663"/>
      <c r="L9" s="663"/>
      <c r="M9" s="663"/>
      <c r="N9" s="663"/>
      <c r="O9" s="663"/>
      <c r="P9" s="663"/>
      <c r="Q9" s="663"/>
      <c r="R9" s="663"/>
      <c r="S9" s="663"/>
      <c r="T9" s="663"/>
      <c r="U9" s="663"/>
      <c r="V9" s="663"/>
      <c r="W9" s="663"/>
      <c r="X9" s="663"/>
      <c r="Y9" s="663"/>
      <c r="Z9" s="663"/>
      <c r="AA9" s="663"/>
      <c r="AB9" s="663"/>
      <c r="AC9" s="663"/>
      <c r="AD9" s="663"/>
      <c r="AE9" s="663"/>
      <c r="AF9" s="16"/>
      <c r="AG9" s="16"/>
      <c r="AH9" s="16"/>
      <c r="AI9" s="16"/>
      <c r="AJ9" s="664"/>
      <c r="AK9" s="664"/>
      <c r="AL9" s="664"/>
      <c r="AM9" s="664"/>
      <c r="AN9" s="664"/>
      <c r="AO9" s="664"/>
      <c r="AP9" s="664"/>
      <c r="AQ9" s="664"/>
      <c r="AR9" s="664"/>
    </row>
    <row r="10" spans="1:48" x14ac:dyDescent="0.3">
      <c r="A10" s="4"/>
      <c r="B10" s="23"/>
      <c r="C10" s="12"/>
      <c r="D10" s="23"/>
      <c r="E10" s="593" t="str">
        <f>START!E19</f>
        <v xml:space="preserve">EXP. DATE    </v>
      </c>
      <c r="F10" s="16"/>
      <c r="G10" s="698" t="str">
        <f>START!G19</f>
        <v/>
      </c>
      <c r="H10" s="699"/>
      <c r="I10" s="699"/>
      <c r="J10" s="700"/>
      <c r="K10" s="23"/>
      <c r="L10" s="12" t="s">
        <v>563</v>
      </c>
      <c r="M10" s="16"/>
      <c r="N10" s="16"/>
      <c r="O10" s="672">
        <f>START!O19</f>
        <v>0</v>
      </c>
      <c r="P10" s="669"/>
      <c r="Q10" s="669"/>
      <c r="R10" s="669"/>
      <c r="S10" s="669"/>
      <c r="T10" s="669"/>
      <c r="U10" s="669"/>
      <c r="V10" s="669"/>
      <c r="W10" s="669"/>
      <c r="X10" s="669"/>
      <c r="Y10" s="669"/>
      <c r="Z10" s="669"/>
      <c r="AA10" s="669"/>
      <c r="AB10" s="669"/>
      <c r="AC10" s="669"/>
      <c r="AD10" s="669"/>
      <c r="AE10" s="670"/>
      <c r="AF10" s="23"/>
      <c r="AG10" s="671" t="str">
        <f>START!AG19</f>
        <v>TITLE</v>
      </c>
      <c r="AH10" s="671"/>
      <c r="AI10" s="888"/>
      <c r="AJ10" s="672">
        <f>START!AJ19</f>
        <v>0</v>
      </c>
      <c r="AK10" s="669"/>
      <c r="AL10" s="669"/>
      <c r="AM10" s="669"/>
      <c r="AN10" s="669"/>
      <c r="AO10" s="669"/>
      <c r="AP10" s="669"/>
      <c r="AQ10" s="669"/>
      <c r="AR10" s="670"/>
    </row>
    <row r="11" spans="1:48" x14ac:dyDescent="0.3">
      <c r="A11" s="4"/>
      <c r="B11" s="60"/>
    </row>
    <row r="12" spans="1:48" x14ac:dyDescent="0.3">
      <c r="A12" s="4"/>
      <c r="B12" s="60"/>
      <c r="C12" s="691" t="s">
        <v>153</v>
      </c>
      <c r="D12" s="692"/>
      <c r="E12" s="692"/>
      <c r="F12" s="692"/>
      <c r="G12" s="692"/>
      <c r="H12" s="692"/>
      <c r="I12" s="692"/>
      <c r="J12" s="692"/>
      <c r="K12" s="692"/>
      <c r="L12" s="692"/>
      <c r="M12" s="692"/>
      <c r="N12" s="692"/>
      <c r="O12" s="692"/>
      <c r="P12" s="692"/>
      <c r="Q12" s="692"/>
      <c r="R12" s="693"/>
      <c r="S12" s="56"/>
      <c r="T12" s="56"/>
      <c r="U12" s="56"/>
      <c r="V12" s="56"/>
      <c r="W12" s="56"/>
      <c r="X12" s="56"/>
      <c r="Y12" s="56"/>
      <c r="Z12" s="56"/>
      <c r="AA12" s="56"/>
      <c r="AB12" s="56"/>
      <c r="AC12" s="691" t="s">
        <v>154</v>
      </c>
      <c r="AD12" s="692"/>
      <c r="AE12" s="692"/>
      <c r="AF12" s="692"/>
      <c r="AG12" s="692"/>
      <c r="AH12" s="692"/>
      <c r="AI12" s="692"/>
      <c r="AJ12" s="692"/>
      <c r="AK12" s="692"/>
      <c r="AL12" s="692"/>
      <c r="AM12" s="692"/>
      <c r="AN12" s="692"/>
      <c r="AO12" s="692"/>
      <c r="AP12" s="692"/>
      <c r="AQ12" s="692"/>
      <c r="AR12" s="693"/>
    </row>
    <row r="13" spans="1:48" x14ac:dyDescent="0.3">
      <c r="A13" s="4"/>
      <c r="B13" s="6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4" spans="1:48" x14ac:dyDescent="0.3">
      <c r="A14" s="4"/>
      <c r="B14" s="60"/>
      <c r="C14" s="691" t="s">
        <v>155</v>
      </c>
      <c r="D14" s="692"/>
      <c r="E14" s="692"/>
      <c r="F14" s="692"/>
      <c r="G14" s="692"/>
      <c r="H14" s="692"/>
      <c r="I14" s="692"/>
      <c r="J14" s="692"/>
      <c r="K14" s="693"/>
      <c r="L14" s="31"/>
      <c r="M14" s="691" t="s">
        <v>156</v>
      </c>
      <c r="N14" s="692"/>
      <c r="O14" s="692"/>
      <c r="P14" s="692"/>
      <c r="Q14" s="692"/>
      <c r="R14" s="692"/>
      <c r="S14" s="692"/>
      <c r="T14" s="692"/>
      <c r="U14" s="692"/>
      <c r="V14" s="693"/>
      <c r="X14" s="691" t="s">
        <v>755</v>
      </c>
      <c r="Y14" s="692"/>
      <c r="Z14" s="692"/>
      <c r="AA14" s="692"/>
      <c r="AB14" s="692"/>
      <c r="AC14" s="692"/>
      <c r="AD14" s="692"/>
      <c r="AE14" s="693"/>
      <c r="AF14" s="31"/>
      <c r="AG14" s="659" t="s">
        <v>1966</v>
      </c>
      <c r="AH14" s="660"/>
      <c r="AI14" s="660"/>
      <c r="AJ14" s="660"/>
      <c r="AK14" s="660"/>
      <c r="AL14" s="660"/>
      <c r="AM14" s="660"/>
      <c r="AN14" s="660"/>
      <c r="AO14" s="660"/>
      <c r="AP14" s="660"/>
      <c r="AQ14" s="660"/>
      <c r="AR14" s="661"/>
    </row>
    <row r="15" spans="1:48" ht="4.5" customHeight="1" x14ac:dyDescent="0.3">
      <c r="A15" s="4"/>
      <c r="B15" s="60"/>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8" ht="25.3" x14ac:dyDescent="0.3">
      <c r="A16" s="887" t="s">
        <v>9159</v>
      </c>
      <c r="B16" s="887"/>
      <c r="C16" s="887"/>
      <c r="D16" s="887"/>
      <c r="E16" s="887"/>
      <c r="F16" s="887"/>
      <c r="G16" s="887"/>
      <c r="H16" s="887"/>
      <c r="I16" s="887"/>
      <c r="J16" s="887"/>
      <c r="K16" s="887"/>
      <c r="L16" s="887"/>
      <c r="M16" s="887"/>
      <c r="N16" s="887"/>
      <c r="O16" s="887"/>
      <c r="P16" s="887"/>
      <c r="Q16" s="887"/>
      <c r="R16" s="887"/>
      <c r="S16" s="887"/>
      <c r="T16" s="887"/>
      <c r="U16" s="887"/>
      <c r="V16" s="887"/>
      <c r="W16" s="887"/>
      <c r="X16" s="887"/>
      <c r="Y16" s="887"/>
      <c r="Z16" s="887"/>
      <c r="AA16" s="887"/>
      <c r="AB16" s="887"/>
      <c r="AC16" s="887"/>
      <c r="AD16" s="887"/>
      <c r="AE16" s="887"/>
      <c r="AF16" s="887"/>
      <c r="AG16" s="887"/>
      <c r="AH16" s="887"/>
      <c r="AI16" s="887"/>
      <c r="AJ16" s="887"/>
      <c r="AK16" s="887"/>
      <c r="AL16" s="887"/>
      <c r="AM16" s="887"/>
      <c r="AN16" s="887"/>
      <c r="AO16" s="887"/>
      <c r="AP16" s="887"/>
      <c r="AQ16" s="887"/>
      <c r="AR16" s="887"/>
    </row>
    <row r="17" spans="1:44" ht="4.5" customHeight="1" x14ac:dyDescent="0.3">
      <c r="A17" s="4"/>
      <c r="B17" s="588"/>
      <c r="C17" s="1"/>
      <c r="D17" s="1"/>
      <c r="E17" s="1"/>
      <c r="F17" s="1"/>
      <c r="G17" s="1"/>
      <c r="H17" s="1"/>
      <c r="I17" s="1"/>
      <c r="J17" s="1"/>
      <c r="K17" s="1"/>
      <c r="L17" s="1"/>
      <c r="M17" s="1"/>
      <c r="N17" s="1"/>
      <c r="O17" s="1"/>
      <c r="P17" s="1"/>
      <c r="Q17" s="1"/>
      <c r="R17" s="1"/>
      <c r="S17" s="1"/>
      <c r="T17" s="1"/>
      <c r="U17" s="1"/>
      <c r="V17" s="21"/>
      <c r="W17" s="21"/>
      <c r="X17" s="21"/>
      <c r="Y17" s="21"/>
      <c r="Z17" s="21"/>
      <c r="AA17" s="21"/>
      <c r="AB17" s="21"/>
      <c r="AC17" s="21"/>
      <c r="AD17" s="21"/>
      <c r="AE17" s="21"/>
      <c r="AF17" s="21"/>
      <c r="AG17" s="21"/>
      <c r="AH17" s="21"/>
      <c r="AI17" s="21"/>
      <c r="AJ17" s="1"/>
      <c r="AK17" s="1"/>
      <c r="AL17" s="1"/>
      <c r="AM17" s="1"/>
      <c r="AN17" s="1"/>
      <c r="AO17" s="1"/>
      <c r="AP17" s="1"/>
      <c r="AQ17" s="1"/>
      <c r="AR17" s="1"/>
    </row>
    <row r="18" spans="1:44" ht="63.75" customHeight="1" x14ac:dyDescent="0.3">
      <c r="A18" s="4"/>
      <c r="B18" s="60"/>
      <c r="C18" s="889" t="str">
        <f>IF(calculations!B3=1,forms!A264,forms!A263)</f>
        <v>This self evaluation is provided to give you an idea of how TRG evaluates the risk management of your association regarding workers' compensation and employee safety. We do not consider a level met until all criteria are met, but do recognize that most of the time real life does not fit neatly into predefined boxes. We like to know, for example, that though only Gold is fully achieved (and thus marked), that all of Diamond is also done and that only one portion of Platinum prevents a higher score.</v>
      </c>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G18" s="889"/>
      <c r="AH18" s="889"/>
      <c r="AI18" s="889"/>
      <c r="AJ18" s="889"/>
      <c r="AK18" s="889"/>
      <c r="AL18" s="889"/>
      <c r="AM18" s="889"/>
      <c r="AN18" s="889"/>
      <c r="AO18" s="889"/>
      <c r="AP18" s="889"/>
      <c r="AQ18" s="889"/>
      <c r="AR18" s="889"/>
    </row>
    <row r="19" spans="1:44" ht="4.5" customHeight="1" x14ac:dyDescent="0.3">
      <c r="A19" s="4"/>
      <c r="B19" s="60"/>
      <c r="C19" s="4"/>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row>
    <row r="20" spans="1:44" ht="40.5" customHeight="1" x14ac:dyDescent="0.3">
      <c r="A20" s="4"/>
      <c r="B20" s="60"/>
      <c r="C20" s="751" t="str">
        <f>forms!A265</f>
        <v>If a Yellow or Red Flag is the highest level achieved or if a specific necessary behavior is not indicated, then a suggested remedy will be provided - it will include all of the criteria needed to achieve Gold Medal (or meet the specific behavioral need), so it may be more inclusive than necessary.</v>
      </c>
      <c r="D20" s="752"/>
      <c r="E20" s="752"/>
      <c r="F20" s="752"/>
      <c r="G20" s="752"/>
      <c r="H20" s="752"/>
      <c r="I20" s="752"/>
      <c r="J20" s="752"/>
      <c r="K20" s="752"/>
      <c r="L20" s="752"/>
      <c r="M20" s="752"/>
      <c r="N20" s="752"/>
      <c r="O20" s="752"/>
      <c r="P20" s="752"/>
      <c r="Q20" s="752"/>
      <c r="R20" s="752"/>
      <c r="S20" s="752"/>
      <c r="T20" s="752"/>
      <c r="U20" s="752"/>
      <c r="V20" s="752"/>
      <c r="W20" s="752"/>
      <c r="X20" s="752"/>
      <c r="Y20" s="752"/>
      <c r="Z20" s="752"/>
      <c r="AA20" s="752"/>
      <c r="AB20" s="752"/>
      <c r="AC20" s="752"/>
      <c r="AD20" s="752"/>
      <c r="AE20" s="752"/>
      <c r="AF20" s="752"/>
      <c r="AG20" s="752"/>
      <c r="AH20" s="752"/>
      <c r="AI20" s="752"/>
      <c r="AJ20" s="752"/>
      <c r="AK20" s="752"/>
      <c r="AL20" s="752"/>
      <c r="AM20" s="752"/>
      <c r="AN20" s="752"/>
      <c r="AO20" s="752"/>
      <c r="AP20" s="752"/>
      <c r="AQ20" s="752"/>
      <c r="AR20" s="752"/>
    </row>
    <row r="21" spans="1:44" ht="4.5" customHeight="1" x14ac:dyDescent="0.3">
      <c r="A21" s="4"/>
      <c r="B21" s="60"/>
      <c r="C21" s="4"/>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row>
    <row r="22" spans="1:44" ht="53.25" customHeight="1" x14ac:dyDescent="0.3">
      <c r="A22" s="4"/>
      <c r="B22" s="60"/>
      <c r="C22" s="751" t="str">
        <f>forms!A266</f>
        <v>The document is designed for computer entry - many of the questions appear only as needed, in response to a previous answer. If there are response boxes with no questions it means that your responses did not generate further questions and you do not need to be concerned about those spaces. Empty boxes are sized large enough for the entire suggested correction to appear. If you wish to clear blank space after you have completed the form you can shrink rows as desired.</v>
      </c>
      <c r="D22" s="752"/>
      <c r="E22" s="752"/>
      <c r="F22" s="752"/>
      <c r="G22" s="752"/>
      <c r="H22" s="752"/>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752"/>
      <c r="AH22" s="752"/>
      <c r="AI22" s="752"/>
      <c r="AJ22" s="752"/>
      <c r="AK22" s="752"/>
      <c r="AL22" s="752"/>
      <c r="AM22" s="752"/>
      <c r="AN22" s="752"/>
      <c r="AO22" s="752"/>
      <c r="AP22" s="752"/>
      <c r="AQ22" s="752"/>
      <c r="AR22" s="752"/>
    </row>
    <row r="23" spans="1:44" ht="4.5" customHeight="1" x14ac:dyDescent="0.3">
      <c r="A23" s="4"/>
      <c r="B23" s="60"/>
      <c r="C23" s="4"/>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row>
    <row r="24" spans="1:44" ht="92.25" customHeight="1" x14ac:dyDescent="0.3">
      <c r="A24" s="4"/>
      <c r="B24" s="60"/>
      <c r="C24" s="753" t="str">
        <f>forms!A267</f>
        <v xml:space="preserve">© The Redwoods Group, 2009 - Risk Management services are provided by The Redwoods Group to assist insureds in fulfilling their responsibilities for the control of potential loss-producing situations involving their YMCA operations. The information contained is not intended as legal advice; it simply represents trends in the YMCA industry, related industries, and/or law. Laws and suggested standards are under constant review by courts, states, and trade groups. They can be vastly different in each jurisdiction. YMCAs are advised to seek the services of a local personal attorney for legal advice relating to any subject addressed. The information is provided "AS IS" without warranty of any kind and The Redwoods Group expressly disclaims all warranties and conditions with regard to any information contained, including all implied warranties of merchantability and fitness for a particular purpose. The Redwoods Group assumes no liability of any kind for information and data contained or for any course of action you may take in reliance thereon.  </v>
      </c>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row>
    <row r="25" spans="1:44" x14ac:dyDescent="0.3">
      <c r="A25" s="4"/>
      <c r="B25" s="60"/>
      <c r="C25" s="1"/>
      <c r="D25" s="1"/>
      <c r="E25" s="558"/>
      <c r="F25" s="558"/>
      <c r="G25" s="558"/>
      <c r="H25" s="214"/>
      <c r="I25" s="559"/>
      <c r="J25" s="559"/>
      <c r="K25" s="559"/>
      <c r="L25" s="559"/>
      <c r="M25" s="559"/>
      <c r="N25" s="214"/>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383"/>
      <c r="AQ25" s="383"/>
      <c r="AR25" s="383"/>
    </row>
    <row r="26" spans="1:44" ht="25.3" x14ac:dyDescent="0.3">
      <c r="A26" s="887" t="s">
        <v>9160</v>
      </c>
      <c r="B26" s="887"/>
      <c r="C26" s="887"/>
      <c r="D26" s="887"/>
      <c r="E26" s="887"/>
      <c r="F26" s="887"/>
      <c r="G26" s="887"/>
      <c r="H26" s="887"/>
      <c r="I26" s="887"/>
      <c r="J26" s="887"/>
      <c r="K26" s="887"/>
      <c r="L26" s="887"/>
      <c r="M26" s="887"/>
      <c r="N26" s="887"/>
      <c r="O26" s="887"/>
      <c r="P26" s="887"/>
      <c r="Q26" s="887"/>
      <c r="R26" s="887"/>
      <c r="S26" s="887"/>
      <c r="T26" s="887"/>
      <c r="U26" s="887"/>
      <c r="V26" s="887"/>
      <c r="W26" s="887"/>
      <c r="X26" s="887"/>
      <c r="Y26" s="887"/>
      <c r="Z26" s="887"/>
      <c r="AA26" s="887"/>
      <c r="AB26" s="887"/>
      <c r="AC26" s="887"/>
      <c r="AD26" s="887"/>
      <c r="AE26" s="887"/>
      <c r="AF26" s="887"/>
      <c r="AG26" s="887"/>
      <c r="AH26" s="887"/>
      <c r="AI26" s="887"/>
      <c r="AJ26" s="887"/>
      <c r="AK26" s="887"/>
      <c r="AL26" s="887"/>
      <c r="AM26" s="887"/>
      <c r="AN26" s="887"/>
      <c r="AO26" s="887"/>
      <c r="AP26" s="887"/>
      <c r="AQ26" s="887"/>
      <c r="AR26" s="887"/>
    </row>
    <row r="27" spans="1:44" x14ac:dyDescent="0.3">
      <c r="A27" s="4"/>
      <c r="B27" s="588"/>
      <c r="C27" s="1"/>
      <c r="D27" s="1"/>
      <c r="E27" s="15"/>
      <c r="F27" s="15"/>
      <c r="G27" s="15"/>
      <c r="I27" s="15"/>
      <c r="J27" s="15"/>
      <c r="K27" s="15"/>
      <c r="L27" s="15"/>
      <c r="M27" s="15"/>
      <c r="N27" s="1"/>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row>
    <row r="28" spans="1:44" ht="14.15" x14ac:dyDescent="0.3">
      <c r="A28" s="4"/>
      <c r="B28" s="615"/>
      <c r="C28" s="1"/>
      <c r="D28" s="6" t="s">
        <v>157</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4.75" customHeight="1" x14ac:dyDescent="0.3">
      <c r="A29" s="4"/>
      <c r="B29" s="615"/>
      <c r="C29" s="7"/>
      <c r="D29" s="9" t="s">
        <v>583</v>
      </c>
      <c r="F29" s="25"/>
      <c r="G29" s="25"/>
      <c r="H29" s="25"/>
      <c r="I29" s="25"/>
      <c r="J29" s="25"/>
      <c r="K29" s="25"/>
      <c r="L29" s="25"/>
      <c r="M29" s="25"/>
      <c r="N29" s="25"/>
      <c r="O29" s="1"/>
      <c r="P29" s="710" t="str">
        <f>ARA!P32</f>
        <v>select</v>
      </c>
      <c r="Q29" s="711"/>
      <c r="R29" s="711"/>
      <c r="S29" s="711"/>
      <c r="T29" s="711"/>
      <c r="U29" s="711"/>
      <c r="V29" s="712"/>
      <c r="W29" s="214"/>
      <c r="X29" s="706" t="str">
        <f>ARA!X32</f>
        <v/>
      </c>
      <c r="Y29" s="707"/>
      <c r="Z29" s="707"/>
      <c r="AA29" s="707"/>
      <c r="AB29" s="707"/>
      <c r="AC29" s="707"/>
      <c r="AD29" s="707"/>
      <c r="AE29" s="707"/>
      <c r="AF29" s="707"/>
      <c r="AG29" s="707"/>
      <c r="AH29" s="707"/>
      <c r="AI29" s="707"/>
      <c r="AJ29" s="707"/>
      <c r="AK29" s="707"/>
      <c r="AL29" s="707"/>
      <c r="AM29" s="707"/>
      <c r="AN29" s="707"/>
      <c r="AO29" s="707"/>
      <c r="AP29" s="707"/>
      <c r="AQ29" s="707"/>
      <c r="AR29" s="708"/>
    </row>
    <row r="30" spans="1:44" s="1" customFormat="1" ht="4.5" customHeight="1" x14ac:dyDescent="0.3">
      <c r="A30" s="4"/>
      <c r="B30" s="616"/>
      <c r="C30" s="7"/>
      <c r="D30" s="10"/>
      <c r="F30" s="25"/>
      <c r="G30" s="25"/>
      <c r="H30" s="25"/>
      <c r="I30" s="25"/>
      <c r="J30" s="25"/>
      <c r="K30" s="25"/>
      <c r="L30" s="25"/>
      <c r="M30" s="25"/>
      <c r="N30" s="25"/>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row>
    <row r="31" spans="1:44" ht="24.75" customHeight="1" x14ac:dyDescent="0.3">
      <c r="A31" s="4"/>
      <c r="B31" s="615"/>
      <c r="C31" s="7"/>
      <c r="D31" s="9" t="s">
        <v>588</v>
      </c>
      <c r="F31" s="25"/>
      <c r="G31" s="25"/>
      <c r="H31" s="25"/>
      <c r="I31" s="25"/>
      <c r="J31" s="25"/>
      <c r="K31" s="25"/>
      <c r="L31" s="25"/>
      <c r="M31" s="25"/>
      <c r="N31" s="25"/>
      <c r="O31" s="1"/>
      <c r="P31" s="710" t="str">
        <f>ARA!P34</f>
        <v>select</v>
      </c>
      <c r="Q31" s="711"/>
      <c r="R31" s="711"/>
      <c r="S31" s="711"/>
      <c r="T31" s="711"/>
      <c r="U31" s="711"/>
      <c r="V31" s="712"/>
      <c r="W31" s="214"/>
      <c r="X31" s="706" t="str">
        <f>ARA!X34</f>
        <v/>
      </c>
      <c r="Y31" s="707"/>
      <c r="Z31" s="707"/>
      <c r="AA31" s="707"/>
      <c r="AB31" s="707"/>
      <c r="AC31" s="707"/>
      <c r="AD31" s="707"/>
      <c r="AE31" s="707"/>
      <c r="AF31" s="707"/>
      <c r="AG31" s="707"/>
      <c r="AH31" s="707"/>
      <c r="AI31" s="707"/>
      <c r="AJ31" s="707"/>
      <c r="AK31" s="707"/>
      <c r="AL31" s="707"/>
      <c r="AM31" s="707"/>
      <c r="AN31" s="707"/>
      <c r="AO31" s="707"/>
      <c r="AP31" s="707"/>
      <c r="AQ31" s="707"/>
      <c r="AR31" s="708"/>
    </row>
    <row r="32" spans="1:44" s="1" customFormat="1" ht="4.5" customHeight="1" x14ac:dyDescent="0.3">
      <c r="A32" s="4"/>
      <c r="B32" s="616"/>
      <c r="C32" s="7"/>
      <c r="D32" s="9"/>
      <c r="F32" s="25"/>
      <c r="G32" s="25"/>
      <c r="H32" s="25"/>
      <c r="I32" s="25"/>
      <c r="J32" s="25"/>
      <c r="K32" s="25"/>
      <c r="L32" s="25"/>
      <c r="M32" s="25"/>
      <c r="N32" s="25"/>
      <c r="O32" s="25"/>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row>
    <row r="33" spans="1:46" ht="24.75" customHeight="1" x14ac:dyDescent="0.3">
      <c r="A33" s="4"/>
      <c r="B33" s="615"/>
      <c r="C33" s="7"/>
      <c r="D33" s="9" t="s">
        <v>158</v>
      </c>
      <c r="F33" s="25"/>
      <c r="G33" s="25"/>
      <c r="H33" s="25"/>
      <c r="I33" s="25"/>
      <c r="J33" s="25"/>
      <c r="K33" s="25"/>
      <c r="L33" s="25"/>
      <c r="M33" s="25"/>
      <c r="N33" s="25"/>
      <c r="O33" s="1"/>
      <c r="P33" s="710" t="str">
        <f>ARA!P36</f>
        <v>select</v>
      </c>
      <c r="Q33" s="711"/>
      <c r="R33" s="711"/>
      <c r="S33" s="711"/>
      <c r="T33" s="711"/>
      <c r="U33" s="711"/>
      <c r="V33" s="712"/>
      <c r="W33" s="214"/>
      <c r="X33" s="706" t="str">
        <f>ARA!X36</f>
        <v/>
      </c>
      <c r="Y33" s="707"/>
      <c r="Z33" s="707"/>
      <c r="AA33" s="707"/>
      <c r="AB33" s="707"/>
      <c r="AC33" s="707"/>
      <c r="AD33" s="707"/>
      <c r="AE33" s="707"/>
      <c r="AF33" s="707"/>
      <c r="AG33" s="707"/>
      <c r="AH33" s="707"/>
      <c r="AI33" s="707"/>
      <c r="AJ33" s="707"/>
      <c r="AK33" s="707"/>
      <c r="AL33" s="707"/>
      <c r="AM33" s="707"/>
      <c r="AN33" s="707"/>
      <c r="AO33" s="707"/>
      <c r="AP33" s="707"/>
      <c r="AQ33" s="707"/>
      <c r="AR33" s="708"/>
    </row>
    <row r="34" spans="1:46" s="1" customFormat="1" ht="4.5" customHeight="1" x14ac:dyDescent="0.3">
      <c r="A34" s="4"/>
      <c r="B34" s="616"/>
      <c r="C34" s="7"/>
      <c r="D34" s="10"/>
      <c r="F34" s="25"/>
      <c r="G34" s="25"/>
      <c r="H34" s="25"/>
      <c r="I34" s="25"/>
      <c r="J34" s="25"/>
      <c r="K34" s="25"/>
      <c r="L34" s="25"/>
      <c r="M34" s="25"/>
      <c r="N34" s="25"/>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row>
    <row r="35" spans="1:46" ht="38.25" customHeight="1" x14ac:dyDescent="0.3">
      <c r="A35" s="4"/>
      <c r="B35" s="615"/>
      <c r="C35" s="7"/>
      <c r="D35" s="9" t="s">
        <v>159</v>
      </c>
      <c r="F35" s="25"/>
      <c r="G35" s="25"/>
      <c r="H35" s="25"/>
      <c r="I35" s="25"/>
      <c r="J35" s="25"/>
      <c r="K35" s="25"/>
      <c r="L35" s="25"/>
      <c r="M35" s="25"/>
      <c r="N35" s="25"/>
      <c r="O35" s="1"/>
      <c r="P35" s="710" t="str">
        <f>ARA!P38</f>
        <v>select</v>
      </c>
      <c r="Q35" s="711"/>
      <c r="R35" s="711"/>
      <c r="S35" s="711"/>
      <c r="T35" s="711"/>
      <c r="U35" s="711"/>
      <c r="V35" s="712"/>
      <c r="W35" s="214"/>
      <c r="X35" s="706" t="str">
        <f>ARA!X38</f>
        <v/>
      </c>
      <c r="Y35" s="707"/>
      <c r="Z35" s="707"/>
      <c r="AA35" s="707"/>
      <c r="AB35" s="707"/>
      <c r="AC35" s="707"/>
      <c r="AD35" s="707"/>
      <c r="AE35" s="707"/>
      <c r="AF35" s="707"/>
      <c r="AG35" s="707"/>
      <c r="AH35" s="707"/>
      <c r="AI35" s="707"/>
      <c r="AJ35" s="707"/>
      <c r="AK35" s="707"/>
      <c r="AL35" s="707"/>
      <c r="AM35" s="707"/>
      <c r="AN35" s="707"/>
      <c r="AO35" s="707"/>
      <c r="AP35" s="707"/>
      <c r="AQ35" s="707"/>
      <c r="AR35" s="708"/>
    </row>
    <row r="36" spans="1:46" s="1" customFormat="1" ht="4.5" customHeight="1" x14ac:dyDescent="0.3">
      <c r="A36" s="4"/>
      <c r="B36" s="616"/>
      <c r="C36" s="7"/>
      <c r="D36" s="9"/>
      <c r="F36" s="25"/>
      <c r="G36" s="25"/>
      <c r="H36" s="25"/>
      <c r="I36" s="25"/>
      <c r="J36" s="25"/>
      <c r="K36" s="25"/>
      <c r="L36" s="25"/>
      <c r="M36" s="25"/>
      <c r="N36" s="25"/>
      <c r="P36" s="224"/>
      <c r="Q36" s="224"/>
      <c r="R36" s="224"/>
      <c r="S36" s="224"/>
      <c r="T36" s="224"/>
      <c r="U36" s="224"/>
      <c r="V36" s="224"/>
      <c r="W36" s="214"/>
      <c r="X36" s="211"/>
      <c r="Y36" s="211"/>
      <c r="Z36" s="211"/>
      <c r="AA36" s="211"/>
      <c r="AB36" s="211"/>
      <c r="AC36" s="211"/>
      <c r="AD36" s="211"/>
      <c r="AE36" s="211"/>
      <c r="AF36" s="211"/>
      <c r="AG36" s="211"/>
      <c r="AH36" s="211"/>
      <c r="AI36" s="211"/>
      <c r="AJ36" s="211"/>
      <c r="AK36" s="211"/>
      <c r="AL36" s="211"/>
      <c r="AM36" s="211"/>
      <c r="AN36" s="211"/>
      <c r="AO36" s="211"/>
      <c r="AP36" s="211"/>
      <c r="AQ36" s="211"/>
      <c r="AR36" s="211"/>
    </row>
    <row r="37" spans="1:46" ht="28.5" customHeight="1" x14ac:dyDescent="0.3">
      <c r="A37" s="4"/>
      <c r="B37" s="615"/>
      <c r="C37" s="7"/>
      <c r="D37" s="57" t="s">
        <v>595</v>
      </c>
      <c r="F37" s="25"/>
      <c r="G37" s="25"/>
      <c r="H37" s="25"/>
      <c r="I37" s="25"/>
      <c r="J37" s="25"/>
      <c r="K37" s="25"/>
      <c r="L37" s="25"/>
      <c r="M37" s="25"/>
      <c r="N37" s="25"/>
      <c r="O37" s="1"/>
      <c r="P37" s="710" t="str">
        <f>ARA!P40</f>
        <v>select</v>
      </c>
      <c r="Q37" s="711"/>
      <c r="R37" s="711"/>
      <c r="S37" s="711"/>
      <c r="T37" s="711"/>
      <c r="U37" s="711"/>
      <c r="V37" s="712"/>
      <c r="W37" s="214"/>
      <c r="X37" s="706" t="str">
        <f>ARA!X40</f>
        <v/>
      </c>
      <c r="Y37" s="707"/>
      <c r="Z37" s="707"/>
      <c r="AA37" s="707"/>
      <c r="AB37" s="707"/>
      <c r="AC37" s="707"/>
      <c r="AD37" s="707"/>
      <c r="AE37" s="707"/>
      <c r="AF37" s="707"/>
      <c r="AG37" s="707"/>
      <c r="AH37" s="707"/>
      <c r="AI37" s="707"/>
      <c r="AJ37" s="707"/>
      <c r="AK37" s="707"/>
      <c r="AL37" s="707"/>
      <c r="AM37" s="707"/>
      <c r="AN37" s="707"/>
      <c r="AO37" s="707"/>
      <c r="AP37" s="707"/>
      <c r="AQ37" s="707"/>
      <c r="AR37" s="708"/>
    </row>
    <row r="38" spans="1:46" s="1" customFormat="1" ht="4.5" customHeight="1" x14ac:dyDescent="0.3">
      <c r="A38" s="4"/>
      <c r="B38" s="616"/>
      <c r="C38" s="7"/>
      <c r="D38" s="57"/>
      <c r="F38" s="25"/>
      <c r="G38" s="25"/>
      <c r="H38" s="25"/>
      <c r="I38" s="25"/>
      <c r="J38" s="25"/>
      <c r="K38" s="25"/>
      <c r="L38" s="25"/>
      <c r="M38" s="25"/>
      <c r="N38" s="25"/>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row>
    <row r="39" spans="1:46" ht="27" customHeight="1" x14ac:dyDescent="0.3">
      <c r="A39" s="4"/>
      <c r="B39" s="615"/>
      <c r="C39" s="7"/>
      <c r="D39" s="28" t="s">
        <v>594</v>
      </c>
      <c r="F39" s="26"/>
      <c r="G39" s="26"/>
      <c r="H39" s="26"/>
      <c r="I39" s="26"/>
      <c r="J39" s="26"/>
      <c r="K39" s="26"/>
      <c r="L39" s="26"/>
      <c r="M39" s="26"/>
      <c r="N39" s="26"/>
      <c r="O39" s="1"/>
      <c r="P39" s="710" t="str">
        <f>ARA!P42</f>
        <v>select</v>
      </c>
      <c r="Q39" s="711"/>
      <c r="R39" s="711"/>
      <c r="S39" s="711"/>
      <c r="T39" s="711"/>
      <c r="U39" s="711"/>
      <c r="V39" s="712"/>
      <c r="W39" s="238"/>
      <c r="X39" s="706" t="str">
        <f>ARA!X42</f>
        <v/>
      </c>
      <c r="Y39" s="707"/>
      <c r="Z39" s="707"/>
      <c r="AA39" s="707"/>
      <c r="AB39" s="707"/>
      <c r="AC39" s="707"/>
      <c r="AD39" s="707"/>
      <c r="AE39" s="707"/>
      <c r="AF39" s="707"/>
      <c r="AG39" s="707"/>
      <c r="AH39" s="707"/>
      <c r="AI39" s="707"/>
      <c r="AJ39" s="707"/>
      <c r="AK39" s="707"/>
      <c r="AL39" s="707"/>
      <c r="AM39" s="707"/>
      <c r="AN39" s="707"/>
      <c r="AO39" s="707"/>
      <c r="AP39" s="707"/>
      <c r="AQ39" s="707"/>
      <c r="AR39" s="708"/>
    </row>
    <row r="40" spans="1:46" s="1" customFormat="1" ht="4.5" customHeight="1" x14ac:dyDescent="0.3">
      <c r="A40" s="4"/>
      <c r="B40" s="616"/>
      <c r="C40" s="7"/>
      <c r="D40" s="28"/>
      <c r="F40" s="26"/>
      <c r="G40" s="26"/>
      <c r="H40" s="26"/>
      <c r="I40" s="26"/>
      <c r="J40" s="26"/>
      <c r="K40" s="26"/>
      <c r="L40" s="26"/>
      <c r="M40" s="26"/>
      <c r="N40" s="26"/>
      <c r="P40" s="218"/>
      <c r="Q40" s="214"/>
      <c r="R40" s="218"/>
      <c r="S40" s="218"/>
      <c r="T40" s="218"/>
      <c r="U40" s="214"/>
      <c r="V40" s="218"/>
      <c r="W40" s="223"/>
      <c r="X40" s="211"/>
      <c r="Y40" s="211"/>
      <c r="Z40" s="211"/>
      <c r="AA40" s="211"/>
      <c r="AB40" s="211"/>
      <c r="AC40" s="211"/>
      <c r="AD40" s="211"/>
      <c r="AE40" s="211"/>
      <c r="AF40" s="211"/>
      <c r="AG40" s="211"/>
      <c r="AH40" s="211"/>
      <c r="AI40" s="211"/>
      <c r="AJ40" s="211"/>
      <c r="AK40" s="211"/>
      <c r="AL40" s="211"/>
      <c r="AM40" s="211"/>
      <c r="AN40" s="211"/>
      <c r="AO40" s="211"/>
      <c r="AP40" s="211"/>
      <c r="AQ40" s="211"/>
      <c r="AR40" s="211"/>
    </row>
    <row r="41" spans="1:46" ht="27" customHeight="1" x14ac:dyDescent="0.3">
      <c r="A41" s="4"/>
      <c r="B41" s="615"/>
      <c r="C41" s="7"/>
      <c r="D41" s="57" t="s">
        <v>1937</v>
      </c>
      <c r="F41" s="1"/>
      <c r="G41" s="1"/>
      <c r="H41" s="1"/>
      <c r="I41" s="1"/>
      <c r="J41" s="1"/>
      <c r="K41" s="1"/>
      <c r="L41" s="1"/>
      <c r="M41" s="1"/>
      <c r="N41" s="1"/>
      <c r="O41" s="1"/>
      <c r="P41" s="890" t="str">
        <f>ARA!P46</f>
        <v>select</v>
      </c>
      <c r="Q41" s="891"/>
      <c r="R41" s="891"/>
      <c r="S41" s="891"/>
      <c r="T41" s="891"/>
      <c r="U41" s="891"/>
      <c r="V41" s="892"/>
      <c r="W41" s="214"/>
      <c r="X41" s="706" t="str">
        <f>ARA!X46</f>
        <v/>
      </c>
      <c r="Y41" s="707"/>
      <c r="Z41" s="707"/>
      <c r="AA41" s="707"/>
      <c r="AB41" s="707"/>
      <c r="AC41" s="707"/>
      <c r="AD41" s="707"/>
      <c r="AE41" s="707"/>
      <c r="AF41" s="707"/>
      <c r="AG41" s="707"/>
      <c r="AH41" s="707"/>
      <c r="AI41" s="707"/>
      <c r="AJ41" s="707"/>
      <c r="AK41" s="707"/>
      <c r="AL41" s="707"/>
      <c r="AM41" s="707"/>
      <c r="AN41" s="707"/>
      <c r="AO41" s="707"/>
      <c r="AP41" s="707"/>
      <c r="AQ41" s="707"/>
      <c r="AR41" s="708"/>
    </row>
    <row r="42" spans="1:46" ht="4.5" customHeight="1" x14ac:dyDescent="0.3">
      <c r="A42" s="4"/>
      <c r="B42" s="615"/>
      <c r="C42" s="7"/>
      <c r="D42" s="57"/>
      <c r="F42" s="1"/>
      <c r="G42" s="1"/>
      <c r="H42" s="1"/>
      <c r="I42" s="1"/>
      <c r="J42" s="1"/>
      <c r="K42" s="1"/>
      <c r="L42" s="1"/>
      <c r="M42" s="1"/>
      <c r="N42" s="1"/>
      <c r="O42" s="1"/>
      <c r="P42" s="576"/>
      <c r="Q42" s="576"/>
      <c r="R42" s="576"/>
      <c r="S42" s="576"/>
      <c r="T42" s="576"/>
      <c r="U42" s="576"/>
      <c r="V42" s="576"/>
      <c r="W42" s="214"/>
      <c r="X42" s="591"/>
      <c r="Y42" s="591"/>
      <c r="Z42" s="591"/>
      <c r="AA42" s="591"/>
      <c r="AB42" s="591"/>
      <c r="AC42" s="591"/>
      <c r="AD42" s="591"/>
      <c r="AE42" s="591"/>
      <c r="AF42" s="591"/>
      <c r="AG42" s="591"/>
      <c r="AH42" s="591"/>
      <c r="AI42" s="591"/>
      <c r="AJ42" s="591"/>
      <c r="AK42" s="591"/>
      <c r="AL42" s="591"/>
      <c r="AM42" s="591"/>
      <c r="AN42" s="591"/>
      <c r="AO42" s="591"/>
      <c r="AP42" s="591"/>
      <c r="AQ42" s="591"/>
      <c r="AR42" s="591"/>
    </row>
    <row r="43" spans="1:46" ht="27" customHeight="1" x14ac:dyDescent="0.3">
      <c r="A43" s="4"/>
      <c r="B43" s="615"/>
      <c r="C43" s="7"/>
      <c r="D43" s="590" t="s">
        <v>1938</v>
      </c>
      <c r="E43" s="25"/>
      <c r="F43" s="25"/>
      <c r="G43" s="25"/>
      <c r="H43" s="25"/>
      <c r="I43" s="25"/>
      <c r="J43" s="25"/>
      <c r="K43" s="25"/>
      <c r="L43" s="25"/>
      <c r="M43" s="25"/>
      <c r="N43" s="25"/>
      <c r="O43" s="25"/>
      <c r="P43" s="710" t="str">
        <f>ARA!P48</f>
        <v>select</v>
      </c>
      <c r="Q43" s="711"/>
      <c r="R43" s="711"/>
      <c r="S43" s="711"/>
      <c r="T43" s="711"/>
      <c r="U43" s="711"/>
      <c r="V43" s="712"/>
      <c r="W43" s="214"/>
      <c r="X43" s="706" t="str">
        <f>ARA!X48</f>
        <v/>
      </c>
      <c r="Y43" s="707"/>
      <c r="Z43" s="707"/>
      <c r="AA43" s="707"/>
      <c r="AB43" s="707"/>
      <c r="AC43" s="707"/>
      <c r="AD43" s="707"/>
      <c r="AE43" s="707"/>
      <c r="AF43" s="707"/>
      <c r="AG43" s="707"/>
      <c r="AH43" s="707"/>
      <c r="AI43" s="707"/>
      <c r="AJ43" s="707"/>
      <c r="AK43" s="707"/>
      <c r="AL43" s="707"/>
      <c r="AM43" s="707"/>
      <c r="AN43" s="707"/>
      <c r="AO43" s="707"/>
      <c r="AP43" s="707"/>
      <c r="AQ43" s="707"/>
      <c r="AR43" s="708"/>
    </row>
    <row r="44" spans="1:46" s="1" customFormat="1" ht="4.5" customHeight="1" x14ac:dyDescent="0.3">
      <c r="A44" s="4"/>
      <c r="B44" s="616"/>
      <c r="C44" s="7"/>
      <c r="D44" s="7"/>
      <c r="E44" s="22"/>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row>
    <row r="45" spans="1:46" s="23" customFormat="1" ht="14.25" customHeight="1" x14ac:dyDescent="0.3">
      <c r="B45" s="617"/>
      <c r="C45" s="567"/>
      <c r="D45" s="569" t="s">
        <v>596</v>
      </c>
      <c r="P45" s="890" t="str">
        <f>ARA!P50</f>
        <v>select</v>
      </c>
      <c r="Q45" s="891"/>
      <c r="R45" s="891"/>
      <c r="S45" s="891"/>
      <c r="T45" s="891"/>
      <c r="U45" s="891"/>
      <c r="V45" s="892"/>
      <c r="W45" s="570"/>
      <c r="X45" s="571" t="s">
        <v>1939</v>
      </c>
      <c r="Y45" s="571"/>
      <c r="Z45" s="571"/>
      <c r="AA45" s="896">
        <f>ARA!AA50</f>
        <v>0</v>
      </c>
      <c r="AB45" s="897"/>
      <c r="AC45" s="571"/>
      <c r="AE45" s="571"/>
      <c r="AF45" s="571"/>
      <c r="AG45" s="571"/>
      <c r="AH45" s="573" t="s">
        <v>1941</v>
      </c>
      <c r="AI45" s="896">
        <f>ARA!AI50</f>
        <v>0</v>
      </c>
      <c r="AJ45" s="897"/>
      <c r="AK45" s="571"/>
      <c r="AO45" s="573" t="s">
        <v>1940</v>
      </c>
      <c r="AP45" s="896">
        <f>ARA!AP50</f>
        <v>0</v>
      </c>
      <c r="AQ45" s="897"/>
      <c r="AR45" s="566" t="s">
        <v>578</v>
      </c>
      <c r="AT45" s="572"/>
    </row>
    <row r="46" spans="1:46" s="23" customFormat="1" ht="4.5" customHeight="1" x14ac:dyDescent="0.3">
      <c r="B46" s="617"/>
      <c r="C46" s="567"/>
      <c r="D46" s="569"/>
      <c r="P46" s="574"/>
      <c r="Q46" s="574"/>
      <c r="R46" s="574"/>
      <c r="S46" s="574"/>
      <c r="T46" s="574"/>
      <c r="U46" s="574"/>
      <c r="V46" s="574"/>
      <c r="W46" s="570"/>
      <c r="X46" s="571"/>
      <c r="Y46" s="571"/>
      <c r="Z46" s="571"/>
      <c r="AA46" s="575"/>
      <c r="AB46" s="575"/>
      <c r="AC46" s="571"/>
      <c r="AE46" s="571"/>
      <c r="AF46" s="571"/>
      <c r="AG46" s="571"/>
      <c r="AH46" s="573"/>
      <c r="AI46" s="575"/>
      <c r="AJ46" s="575"/>
      <c r="AK46" s="571"/>
      <c r="AO46" s="573"/>
      <c r="AP46" s="575"/>
      <c r="AQ46" s="575"/>
      <c r="AR46" s="566"/>
      <c r="AT46" s="572"/>
    </row>
    <row r="47" spans="1:46" s="23" customFormat="1" ht="15" customHeight="1" x14ac:dyDescent="0.3">
      <c r="B47" s="617"/>
      <c r="C47" s="567"/>
      <c r="D47" s="570" t="s">
        <v>1955</v>
      </c>
      <c r="P47" s="574"/>
      <c r="Q47" s="574"/>
      <c r="R47" s="574"/>
      <c r="S47" s="574"/>
      <c r="T47" s="574"/>
      <c r="U47" s="574"/>
      <c r="V47" s="574"/>
      <c r="W47" s="570"/>
      <c r="X47" s="571"/>
      <c r="Y47" s="571"/>
      <c r="Z47" s="571"/>
      <c r="AA47" s="575"/>
      <c r="AB47" s="575"/>
      <c r="AC47" s="571"/>
      <c r="AE47" s="571"/>
      <c r="AF47" s="571"/>
      <c r="AG47" s="571"/>
      <c r="AH47" s="573"/>
      <c r="AI47" s="575"/>
      <c r="AJ47" s="575"/>
      <c r="AK47" s="571"/>
      <c r="AO47" s="573"/>
      <c r="AP47" s="575"/>
      <c r="AQ47" s="575"/>
      <c r="AR47" s="566"/>
      <c r="AT47" s="572"/>
    </row>
    <row r="48" spans="1:46" s="23" customFormat="1" ht="4.5" customHeight="1" x14ac:dyDescent="0.3">
      <c r="B48" s="617"/>
      <c r="C48" s="567"/>
      <c r="D48" s="570"/>
      <c r="P48" s="574"/>
      <c r="Q48" s="574"/>
      <c r="R48" s="574"/>
      <c r="S48" s="574"/>
      <c r="T48" s="574"/>
      <c r="U48" s="574"/>
      <c r="V48" s="574"/>
      <c r="W48" s="570"/>
      <c r="X48" s="571"/>
      <c r="Y48" s="571"/>
      <c r="Z48" s="571"/>
      <c r="AA48" s="575"/>
      <c r="AB48" s="575"/>
      <c r="AC48" s="571"/>
      <c r="AE48" s="571"/>
      <c r="AF48" s="571"/>
      <c r="AG48" s="571"/>
      <c r="AH48" s="573"/>
      <c r="AI48" s="575"/>
      <c r="AJ48" s="575"/>
      <c r="AK48" s="571"/>
      <c r="AO48" s="573"/>
      <c r="AP48" s="575"/>
      <c r="AQ48" s="575"/>
      <c r="AR48" s="566"/>
      <c r="AT48" s="572"/>
    </row>
    <row r="49" spans="1:46" s="23" customFormat="1" ht="15" customHeight="1" x14ac:dyDescent="0.3">
      <c r="B49" s="617"/>
      <c r="C49" s="567"/>
      <c r="D49" s="570"/>
      <c r="P49" s="574"/>
      <c r="Q49" s="574"/>
      <c r="R49" s="574"/>
      <c r="S49" s="574"/>
      <c r="T49" s="574"/>
      <c r="U49" s="574"/>
      <c r="V49" s="574"/>
      <c r="W49" s="570"/>
      <c r="X49" s="571"/>
      <c r="Y49" s="571"/>
      <c r="Z49" s="571"/>
      <c r="AA49" s="577" t="str">
        <f>ARA!AA54</f>
        <v/>
      </c>
      <c r="AB49" s="575"/>
      <c r="AC49" s="571"/>
      <c r="AE49" s="718">
        <f>ARA!AE54</f>
        <v>0</v>
      </c>
      <c r="AF49" s="719"/>
      <c r="AG49" s="719"/>
      <c r="AH49" s="720"/>
      <c r="AI49" s="575"/>
      <c r="AJ49" s="575"/>
      <c r="AK49" s="571"/>
      <c r="AO49" s="573"/>
      <c r="AP49" s="575"/>
      <c r="AQ49" s="575"/>
      <c r="AR49" s="566"/>
      <c r="AT49" s="572"/>
    </row>
    <row r="50" spans="1:46" s="1" customFormat="1" ht="4.5" customHeight="1" x14ac:dyDescent="0.3">
      <c r="A50" s="4"/>
      <c r="B50" s="39"/>
      <c r="C50" s="8"/>
      <c r="D50" s="561"/>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T50" s="79"/>
    </row>
    <row r="51" spans="1:46" ht="18" customHeight="1" x14ac:dyDescent="0.3">
      <c r="A51" s="4"/>
      <c r="B51" s="615"/>
      <c r="C51" s="7"/>
      <c r="D51" s="22" t="s">
        <v>259</v>
      </c>
      <c r="F51" s="1"/>
      <c r="G51" s="1"/>
      <c r="H51" s="1"/>
      <c r="I51" s="1"/>
      <c r="J51" s="1"/>
      <c r="K51" s="1"/>
      <c r="L51" s="1"/>
      <c r="M51" s="1"/>
      <c r="N51" s="1"/>
      <c r="O51" s="1"/>
      <c r="P51" s="890" t="str">
        <f>ARA!P56</f>
        <v>select</v>
      </c>
      <c r="Q51" s="891"/>
      <c r="R51" s="891"/>
      <c r="S51" s="891"/>
      <c r="T51" s="891"/>
      <c r="U51" s="891"/>
      <c r="V51" s="892"/>
      <c r="W51" s="214"/>
      <c r="X51" s="893" t="str">
        <f>ARA!X56</f>
        <v/>
      </c>
      <c r="Y51" s="894"/>
      <c r="Z51" s="894"/>
      <c r="AA51" s="894"/>
      <c r="AB51" s="894"/>
      <c r="AC51" s="894"/>
      <c r="AD51" s="894"/>
      <c r="AE51" s="894"/>
      <c r="AF51" s="894"/>
      <c r="AG51" s="894"/>
      <c r="AH51" s="894"/>
      <c r="AI51" s="894"/>
      <c r="AJ51" s="894"/>
      <c r="AK51" s="894"/>
      <c r="AL51" s="894"/>
      <c r="AM51" s="894"/>
      <c r="AN51" s="894"/>
      <c r="AO51" s="894"/>
      <c r="AP51" s="894"/>
      <c r="AQ51" s="894"/>
      <c r="AR51" s="895"/>
    </row>
    <row r="52" spans="1:46" s="1" customFormat="1" ht="4.5" customHeight="1" x14ac:dyDescent="0.3">
      <c r="A52" s="4"/>
      <c r="B52" s="616"/>
      <c r="C52" s="25"/>
      <c r="D52" s="57"/>
      <c r="F52" s="25"/>
      <c r="G52" s="25"/>
      <c r="H52" s="25"/>
      <c r="I52" s="25"/>
      <c r="J52" s="25"/>
      <c r="K52" s="25"/>
      <c r="L52" s="25"/>
      <c r="M52" s="25"/>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row>
    <row r="53" spans="1:46" x14ac:dyDescent="0.3">
      <c r="A53" s="4"/>
      <c r="B53" s="616"/>
      <c r="C53" s="1"/>
      <c r="D53" s="22" t="s">
        <v>187</v>
      </c>
      <c r="F53" s="1"/>
      <c r="G53" s="1"/>
      <c r="H53" s="1"/>
      <c r="I53" s="1"/>
      <c r="J53" s="1" t="s">
        <v>188</v>
      </c>
      <c r="K53" s="1"/>
      <c r="L53" s="1"/>
      <c r="M53" s="1"/>
      <c r="N53" s="1"/>
      <c r="O53" s="1"/>
      <c r="P53" s="214"/>
      <c r="Q53" s="239" t="s">
        <v>261</v>
      </c>
      <c r="R53" s="898">
        <f>ARA!R58</f>
        <v>0</v>
      </c>
      <c r="S53" s="899"/>
      <c r="T53" s="214"/>
      <c r="U53" s="214"/>
      <c r="V53" s="214"/>
      <c r="W53" s="239" t="s">
        <v>263</v>
      </c>
      <c r="X53" s="898">
        <f>ARA!X58</f>
        <v>0</v>
      </c>
      <c r="Y53" s="899"/>
      <c r="Z53" s="214"/>
      <c r="AA53" s="214"/>
      <c r="AB53" s="214"/>
      <c r="AC53" s="214"/>
      <c r="AD53" s="214"/>
      <c r="AE53" s="214"/>
      <c r="AF53" s="239" t="s">
        <v>262</v>
      </c>
      <c r="AG53" s="898">
        <f>ARA!AG58</f>
        <v>0</v>
      </c>
      <c r="AH53" s="899"/>
      <c r="AI53" s="214"/>
      <c r="AJ53" s="214"/>
      <c r="AK53" s="214"/>
      <c r="AL53" s="214"/>
      <c r="AM53" s="214"/>
      <c r="AN53" s="214"/>
      <c r="AO53" s="214"/>
      <c r="AP53" s="239" t="s">
        <v>264</v>
      </c>
      <c r="AQ53" s="898">
        <f>ARA!AQ58</f>
        <v>0</v>
      </c>
      <c r="AR53" s="899"/>
    </row>
    <row r="54" spans="1:46" s="1" customFormat="1" ht="4.5" customHeight="1" x14ac:dyDescent="0.3">
      <c r="A54" s="4"/>
      <c r="B54" s="616"/>
      <c r="D54" s="22"/>
      <c r="P54" s="214"/>
      <c r="Q54" s="239"/>
      <c r="R54" s="220"/>
      <c r="S54" s="220"/>
      <c r="T54" s="214"/>
      <c r="U54" s="214"/>
      <c r="V54" s="214"/>
      <c r="W54" s="239"/>
      <c r="X54" s="220"/>
      <c r="Y54" s="220"/>
      <c r="Z54" s="214"/>
      <c r="AA54" s="214"/>
      <c r="AB54" s="214"/>
      <c r="AC54" s="214"/>
      <c r="AD54" s="214"/>
      <c r="AE54" s="214"/>
      <c r="AF54" s="239"/>
      <c r="AG54" s="220"/>
      <c r="AH54" s="220"/>
      <c r="AI54" s="214"/>
      <c r="AJ54" s="214"/>
      <c r="AK54" s="214"/>
      <c r="AL54" s="214"/>
      <c r="AM54" s="214"/>
      <c r="AN54" s="214"/>
      <c r="AO54" s="214"/>
      <c r="AP54" s="239"/>
      <c r="AQ54" s="220"/>
      <c r="AR54" s="220"/>
    </row>
    <row r="55" spans="1:46" ht="24.75" customHeight="1" x14ac:dyDescent="0.3">
      <c r="A55" s="4"/>
      <c r="B55" s="615"/>
      <c r="C55" s="1"/>
      <c r="D55" s="22"/>
      <c r="F55" s="1"/>
      <c r="G55" s="1"/>
      <c r="H55" s="1"/>
      <c r="I55" s="1"/>
      <c r="J55" s="1"/>
      <c r="K55" s="1"/>
      <c r="L55" s="1"/>
      <c r="M55" s="1"/>
      <c r="N55" s="4" t="str">
        <f>ARA!N60</f>
        <v/>
      </c>
      <c r="O55" s="1"/>
      <c r="P55" s="214"/>
      <c r="Q55" s="214"/>
      <c r="R55" s="214"/>
      <c r="S55" s="214"/>
      <c r="T55" s="214"/>
      <c r="U55" s="214"/>
      <c r="V55" s="214"/>
      <c r="W55" s="214"/>
      <c r="X55" s="893" t="str">
        <f>ARA!X60</f>
        <v/>
      </c>
      <c r="Y55" s="894"/>
      <c r="Z55" s="894"/>
      <c r="AA55" s="894"/>
      <c r="AB55" s="894"/>
      <c r="AC55" s="894"/>
      <c r="AD55" s="894"/>
      <c r="AE55" s="894"/>
      <c r="AF55" s="894"/>
      <c r="AG55" s="894"/>
      <c r="AH55" s="894"/>
      <c r="AI55" s="894"/>
      <c r="AJ55" s="894"/>
      <c r="AK55" s="894"/>
      <c r="AL55" s="894"/>
      <c r="AM55" s="894"/>
      <c r="AN55" s="894"/>
      <c r="AO55" s="894"/>
      <c r="AP55" s="894"/>
      <c r="AQ55" s="894"/>
      <c r="AR55" s="895"/>
    </row>
    <row r="56" spans="1:46" s="1" customFormat="1" ht="4.5" customHeight="1" x14ac:dyDescent="0.3">
      <c r="A56" s="4"/>
      <c r="B56" s="616"/>
      <c r="D56" s="22"/>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row>
    <row r="57" spans="1:46" ht="24.75" customHeight="1" x14ac:dyDescent="0.3">
      <c r="A57" s="4"/>
      <c r="B57" s="615"/>
      <c r="C57" s="1"/>
      <c r="D57" s="22" t="s">
        <v>260</v>
      </c>
      <c r="F57" s="1"/>
      <c r="G57" s="1"/>
      <c r="H57" s="1"/>
      <c r="I57" s="1"/>
      <c r="J57" s="1"/>
      <c r="K57" s="1"/>
      <c r="L57" s="1"/>
      <c r="M57" s="1"/>
      <c r="N57" s="1"/>
      <c r="O57" s="1"/>
      <c r="P57" s="890" t="str">
        <f>ARA!P62</f>
        <v>select</v>
      </c>
      <c r="Q57" s="891"/>
      <c r="R57" s="891"/>
      <c r="S57" s="891"/>
      <c r="T57" s="891"/>
      <c r="U57" s="891"/>
      <c r="V57" s="892"/>
      <c r="W57" s="214"/>
      <c r="X57" s="893" t="str">
        <f>ARA!X62</f>
        <v/>
      </c>
      <c r="Y57" s="894"/>
      <c r="Z57" s="894"/>
      <c r="AA57" s="894"/>
      <c r="AB57" s="894"/>
      <c r="AC57" s="894"/>
      <c r="AD57" s="894"/>
      <c r="AE57" s="894"/>
      <c r="AF57" s="894"/>
      <c r="AG57" s="894"/>
      <c r="AH57" s="894"/>
      <c r="AI57" s="894"/>
      <c r="AJ57" s="894"/>
      <c r="AK57" s="894"/>
      <c r="AL57" s="894"/>
      <c r="AM57" s="894"/>
      <c r="AN57" s="894"/>
      <c r="AO57" s="894"/>
      <c r="AP57" s="894"/>
      <c r="AQ57" s="894"/>
      <c r="AR57" s="895"/>
    </row>
    <row r="58" spans="1:46" ht="4.5" customHeight="1" x14ac:dyDescent="0.3">
      <c r="A58" s="4"/>
      <c r="B58" s="615"/>
      <c r="C58" s="1"/>
      <c r="D58" s="1"/>
      <c r="E58" s="22"/>
      <c r="F58" s="1"/>
      <c r="G58" s="1"/>
      <c r="H58" s="1"/>
      <c r="I58" s="1"/>
      <c r="J58" s="1"/>
      <c r="K58" s="1"/>
      <c r="L58" s="1"/>
      <c r="M58" s="1"/>
      <c r="N58" s="1"/>
      <c r="O58" s="1"/>
      <c r="P58" s="576"/>
      <c r="Q58" s="576"/>
      <c r="R58" s="576"/>
      <c r="S58" s="576"/>
      <c r="T58" s="576"/>
      <c r="U58" s="576"/>
      <c r="V58" s="576"/>
      <c r="W58" s="214"/>
      <c r="X58" s="560"/>
      <c r="Y58" s="560"/>
      <c r="Z58" s="560"/>
      <c r="AA58" s="560"/>
      <c r="AB58" s="560"/>
      <c r="AC58" s="560"/>
      <c r="AD58" s="560"/>
      <c r="AE58" s="560"/>
      <c r="AF58" s="560"/>
      <c r="AG58" s="560"/>
      <c r="AH58" s="560"/>
      <c r="AI58" s="560"/>
      <c r="AJ58" s="560"/>
      <c r="AK58" s="560"/>
      <c r="AL58" s="560"/>
      <c r="AM58" s="560"/>
      <c r="AN58" s="560"/>
      <c r="AO58" s="560"/>
      <c r="AP58" s="560"/>
      <c r="AQ58" s="560"/>
      <c r="AR58" s="560"/>
    </row>
    <row r="59" spans="1:46" s="1" customFormat="1" ht="25.5" customHeight="1" x14ac:dyDescent="0.3">
      <c r="B59" s="77"/>
      <c r="D59" s="561" t="s">
        <v>1954</v>
      </c>
      <c r="P59" s="710" t="str">
        <f>ARA!P64</f>
        <v>no</v>
      </c>
      <c r="Q59" s="711"/>
      <c r="R59" s="711"/>
      <c r="S59" s="711"/>
      <c r="T59" s="711"/>
      <c r="U59" s="711"/>
      <c r="V59" s="712"/>
      <c r="X59" s="706" t="str">
        <f>ARA!X64</f>
        <v/>
      </c>
      <c r="Y59" s="707"/>
      <c r="Z59" s="707"/>
      <c r="AA59" s="707"/>
      <c r="AB59" s="707"/>
      <c r="AC59" s="707"/>
      <c r="AD59" s="707"/>
      <c r="AE59" s="707"/>
      <c r="AF59" s="707"/>
      <c r="AG59" s="707"/>
      <c r="AH59" s="707"/>
      <c r="AI59" s="707"/>
      <c r="AJ59" s="707"/>
      <c r="AK59" s="707"/>
      <c r="AL59" s="707"/>
      <c r="AM59" s="707"/>
      <c r="AN59" s="707"/>
      <c r="AO59" s="707"/>
      <c r="AP59" s="707"/>
      <c r="AQ59" s="707"/>
      <c r="AR59" s="708"/>
      <c r="AT59" s="79"/>
    </row>
    <row r="60" spans="1:46" s="1" customFormat="1" ht="4.5" customHeight="1" x14ac:dyDescent="0.3">
      <c r="A60" s="4"/>
      <c r="B60" s="616"/>
      <c r="E60" s="22"/>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row>
    <row r="61" spans="1:46" ht="12.75" customHeight="1" x14ac:dyDescent="0.3">
      <c r="A61" s="4"/>
      <c r="B61" s="615"/>
      <c r="C61" s="1"/>
      <c r="D61" s="22" t="s">
        <v>597</v>
      </c>
      <c r="F61" s="1"/>
      <c r="G61" s="1"/>
      <c r="H61" s="1"/>
      <c r="I61" s="1"/>
      <c r="J61" s="1"/>
      <c r="K61" s="1"/>
      <c r="L61" s="1"/>
      <c r="M61" s="1"/>
      <c r="N61" s="1"/>
      <c r="O61" s="1"/>
      <c r="P61" s="890" t="str">
        <f>ARA!P66</f>
        <v>select</v>
      </c>
      <c r="Q61" s="891"/>
      <c r="R61" s="891"/>
      <c r="S61" s="891"/>
      <c r="T61" s="891"/>
      <c r="U61" s="891"/>
      <c r="V61" s="892"/>
      <c r="W61" s="214"/>
      <c r="X61" s="893" t="str">
        <f>ARA!X66</f>
        <v/>
      </c>
      <c r="Y61" s="894"/>
      <c r="Z61" s="894"/>
      <c r="AA61" s="894"/>
      <c r="AB61" s="894"/>
      <c r="AC61" s="894"/>
      <c r="AD61" s="894"/>
      <c r="AE61" s="894"/>
      <c r="AF61" s="894"/>
      <c r="AG61" s="894"/>
      <c r="AH61" s="894"/>
      <c r="AI61" s="894"/>
      <c r="AJ61" s="894"/>
      <c r="AK61" s="894"/>
      <c r="AL61" s="894"/>
      <c r="AM61" s="894"/>
      <c r="AN61" s="894"/>
      <c r="AO61" s="894"/>
      <c r="AP61" s="894"/>
      <c r="AQ61" s="894"/>
      <c r="AR61" s="895"/>
    </row>
    <row r="62" spans="1:46" x14ac:dyDescent="0.3">
      <c r="A62" s="4"/>
      <c r="B62" s="615"/>
      <c r="C62" s="1"/>
      <c r="D62" s="1"/>
      <c r="E62" s="15"/>
      <c r="F62" s="15"/>
      <c r="G62" s="15"/>
      <c r="H62" s="1"/>
      <c r="I62" s="15"/>
      <c r="J62" s="15"/>
      <c r="K62" s="15"/>
      <c r="L62" s="15"/>
      <c r="M62" s="15"/>
      <c r="N62" s="1"/>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row>
    <row r="63" spans="1:46" ht="25.3" x14ac:dyDescent="0.3">
      <c r="A63" s="903" t="s">
        <v>160</v>
      </c>
      <c r="B63" s="690"/>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0"/>
      <c r="AP63" s="690"/>
      <c r="AQ63" s="690"/>
      <c r="AR63" s="690"/>
    </row>
    <row r="64" spans="1:46" x14ac:dyDescent="0.3">
      <c r="A64" s="4"/>
      <c r="B64" s="60"/>
      <c r="C64" s="4"/>
      <c r="D64" s="4"/>
      <c r="E64" s="4"/>
      <c r="F64" s="5"/>
      <c r="G64" s="4"/>
      <c r="H64" s="4"/>
      <c r="I64" s="4"/>
      <c r="J64" s="4"/>
      <c r="K64" s="4"/>
      <c r="L64" s="4"/>
      <c r="M64" s="4"/>
      <c r="N64" s="4"/>
      <c r="O64" s="4"/>
      <c r="P64" s="4"/>
      <c r="Q64" s="4"/>
      <c r="R64" s="1"/>
      <c r="S64" s="1"/>
      <c r="T64" s="1"/>
      <c r="U64" s="1"/>
      <c r="V64" s="1"/>
      <c r="W64" s="1"/>
      <c r="X64" s="1"/>
      <c r="Y64" s="4"/>
      <c r="Z64" s="4"/>
      <c r="AA64" s="4"/>
      <c r="AB64" s="4"/>
      <c r="AC64" s="691" t="s">
        <v>693</v>
      </c>
      <c r="AD64" s="692"/>
      <c r="AE64" s="692"/>
      <c r="AF64" s="692"/>
      <c r="AG64" s="692"/>
      <c r="AH64" s="693"/>
      <c r="AJ64" s="691" t="s">
        <v>695</v>
      </c>
      <c r="AK64" s="692"/>
      <c r="AL64" s="692"/>
      <c r="AM64" s="692"/>
      <c r="AN64" s="692"/>
      <c r="AO64" s="692"/>
      <c r="AP64" s="692"/>
      <c r="AQ64" s="692"/>
      <c r="AR64" s="693"/>
    </row>
    <row r="65" spans="1:44" x14ac:dyDescent="0.3">
      <c r="A65" s="4"/>
      <c r="B65" s="60"/>
      <c r="C65" s="1"/>
      <c r="D65" s="1"/>
      <c r="E65" s="15"/>
      <c r="F65" s="15"/>
      <c r="G65" s="15"/>
      <c r="H65" s="1"/>
      <c r="I65" s="15"/>
      <c r="J65" s="15"/>
      <c r="K65" s="15"/>
      <c r="L65" s="15"/>
      <c r="M65" s="15"/>
      <c r="N65" s="1"/>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ht="14.15" x14ac:dyDescent="0.35">
      <c r="A66" s="232" t="s">
        <v>854</v>
      </c>
      <c r="B66" s="60"/>
      <c r="C66" s="1"/>
      <c r="D66" s="58" t="s">
        <v>161</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59" t="str">
        <f>calculations!AB64</f>
        <v/>
      </c>
      <c r="AL66" s="1"/>
      <c r="AM66" s="1"/>
      <c r="AN66" s="1"/>
      <c r="AO66" s="1"/>
      <c r="AP66" s="1"/>
      <c r="AQ66" s="1"/>
      <c r="AR66" s="1"/>
    </row>
    <row r="67" spans="1:44" x14ac:dyDescent="0.3">
      <c r="A67" s="13"/>
      <c r="B67" s="60"/>
      <c r="C67" s="1"/>
      <c r="E67" s="1"/>
      <c r="F67" s="1"/>
      <c r="G67" s="1"/>
      <c r="H67" s="185" t="s">
        <v>767</v>
      </c>
      <c r="I67" s="61" t="s">
        <v>851</v>
      </c>
      <c r="J67" s="1"/>
      <c r="K67" s="1"/>
      <c r="L67" s="1"/>
      <c r="M67" s="1"/>
      <c r="N67" s="1"/>
      <c r="O67" s="1"/>
      <c r="P67" s="1"/>
      <c r="Q67" s="1"/>
      <c r="R67" s="1"/>
      <c r="S67" s="1"/>
      <c r="T67" s="1"/>
      <c r="U67" s="1"/>
      <c r="V67" s="1"/>
      <c r="W67" s="1"/>
      <c r="X67" s="1"/>
      <c r="Y67" s="1"/>
      <c r="Z67" s="61"/>
      <c r="AA67" s="1"/>
      <c r="AB67" s="1"/>
      <c r="AC67" s="1"/>
      <c r="AD67" s="1"/>
      <c r="AE67" s="1"/>
      <c r="AF67" s="1"/>
      <c r="AG67" s="1"/>
      <c r="AH67" s="1"/>
      <c r="AI67" s="1"/>
      <c r="AJ67" s="1"/>
      <c r="AK67" s="1"/>
      <c r="AL67" s="1"/>
      <c r="AM67" s="1"/>
      <c r="AN67" s="1"/>
      <c r="AO67" s="1"/>
      <c r="AP67" s="1"/>
      <c r="AQ67" s="1"/>
      <c r="AR67" s="1"/>
    </row>
    <row r="68" spans="1:44" ht="6.75" customHeight="1" x14ac:dyDescent="0.3">
      <c r="A68" s="13"/>
      <c r="B68" s="6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2.75" customHeight="1" x14ac:dyDescent="0.3">
      <c r="A69" s="13" t="s">
        <v>162</v>
      </c>
      <c r="B69" s="60"/>
      <c r="C69" s="1"/>
      <c r="D69" s="1"/>
      <c r="E69" s="1"/>
      <c r="F69" s="1"/>
      <c r="G69" s="1"/>
      <c r="H69" s="1"/>
      <c r="I69" s="900" t="s">
        <v>1203</v>
      </c>
      <c r="J69" s="900"/>
      <c r="K69" s="900"/>
      <c r="L69" s="900"/>
      <c r="M69" s="900"/>
      <c r="N69" s="900"/>
      <c r="O69" s="900"/>
      <c r="P69" s="900"/>
      <c r="Q69" s="900"/>
      <c r="R69" s="900"/>
      <c r="S69" s="900"/>
      <c r="T69" s="900"/>
      <c r="U69" s="900"/>
      <c r="V69" s="900"/>
      <c r="W69" s="900"/>
      <c r="X69" s="900"/>
      <c r="Y69" s="900"/>
      <c r="Z69" s="900"/>
      <c r="AA69" s="900"/>
      <c r="AB69" s="900"/>
      <c r="AC69" s="900"/>
      <c r="AD69" s="900"/>
      <c r="AE69" s="900"/>
      <c r="AF69" s="900"/>
      <c r="AG69" s="900"/>
      <c r="AH69" s="900"/>
      <c r="AI69" s="900"/>
      <c r="AJ69" s="900"/>
      <c r="AK69" s="900"/>
      <c r="AL69" s="900"/>
      <c r="AM69" s="900"/>
      <c r="AN69" s="900"/>
      <c r="AO69" s="900"/>
      <c r="AP69" s="900"/>
      <c r="AQ69" s="900"/>
      <c r="AR69" s="900"/>
    </row>
    <row r="70" spans="1:44" ht="6.75" customHeight="1" x14ac:dyDescent="0.3">
      <c r="A70" s="13"/>
      <c r="B70" s="60"/>
      <c r="C70" s="1"/>
      <c r="D70" s="1"/>
      <c r="E70" s="1"/>
      <c r="F70" s="1"/>
      <c r="G70" s="1"/>
      <c r="H70" s="1"/>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row>
    <row r="71" spans="1:44" x14ac:dyDescent="0.3">
      <c r="A71" s="13" t="s">
        <v>625</v>
      </c>
      <c r="B71" s="60"/>
      <c r="C71" s="1"/>
      <c r="D71" s="1"/>
      <c r="E71" s="1"/>
      <c r="F71" s="1"/>
      <c r="G71" s="1"/>
      <c r="H71" s="1"/>
      <c r="I71" s="900" t="s">
        <v>1204</v>
      </c>
      <c r="J71" s="900"/>
      <c r="K71" s="900"/>
      <c r="L71" s="900"/>
      <c r="M71" s="900"/>
      <c r="N71" s="900"/>
      <c r="O71" s="900"/>
      <c r="P71" s="900"/>
      <c r="Q71" s="900"/>
      <c r="R71" s="900"/>
      <c r="S71" s="900"/>
      <c r="T71" s="900"/>
      <c r="U71" s="900"/>
      <c r="V71" s="900"/>
      <c r="W71" s="900"/>
      <c r="X71" s="900"/>
      <c r="Y71" s="900"/>
      <c r="Z71" s="900"/>
      <c r="AA71" s="900"/>
      <c r="AB71" s="900"/>
      <c r="AC71" s="900"/>
      <c r="AD71" s="900"/>
      <c r="AE71" s="900"/>
      <c r="AF71" s="900"/>
      <c r="AG71" s="900"/>
      <c r="AH71" s="900"/>
      <c r="AI71" s="900"/>
      <c r="AJ71" s="900"/>
      <c r="AK71" s="900"/>
      <c r="AL71" s="900"/>
      <c r="AM71" s="900"/>
      <c r="AN71" s="900"/>
      <c r="AO71" s="900"/>
      <c r="AP71" s="900"/>
      <c r="AQ71" s="900"/>
      <c r="AR71" s="900"/>
    </row>
    <row r="72" spans="1:44" ht="6.75" customHeight="1" x14ac:dyDescent="0.3">
      <c r="A72" s="13"/>
      <c r="B72" s="60"/>
      <c r="C72" s="1"/>
      <c r="D72" s="1"/>
      <c r="E72" s="1"/>
      <c r="F72" s="1"/>
      <c r="G72" s="1"/>
      <c r="H72" s="1"/>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row>
    <row r="73" spans="1:44" x14ac:dyDescent="0.3">
      <c r="A73" s="13" t="s">
        <v>626</v>
      </c>
      <c r="B73" s="60"/>
      <c r="C73" s="1"/>
      <c r="D73" s="1"/>
      <c r="E73" s="1"/>
      <c r="F73" s="1"/>
      <c r="G73" s="1"/>
      <c r="H73" s="1"/>
      <c r="I73" s="901" t="s">
        <v>1580</v>
      </c>
      <c r="J73" s="901"/>
      <c r="K73" s="901"/>
      <c r="L73" s="901"/>
      <c r="M73" s="901"/>
      <c r="N73" s="901"/>
      <c r="O73" s="901"/>
      <c r="P73" s="901"/>
      <c r="Q73" s="901"/>
      <c r="R73" s="901"/>
      <c r="S73" s="901"/>
      <c r="T73" s="901"/>
      <c r="U73" s="901"/>
      <c r="V73" s="901"/>
      <c r="W73" s="901"/>
      <c r="X73" s="901"/>
      <c r="Y73" s="901"/>
      <c r="Z73" s="901"/>
      <c r="AA73" s="901"/>
      <c r="AB73" s="901"/>
      <c r="AC73" s="901"/>
      <c r="AD73" s="901"/>
      <c r="AE73" s="901"/>
      <c r="AF73" s="901"/>
      <c r="AG73" s="901"/>
      <c r="AH73" s="901"/>
      <c r="AI73" s="901"/>
      <c r="AJ73" s="901"/>
      <c r="AK73" s="901"/>
      <c r="AL73" s="901"/>
      <c r="AM73" s="901"/>
      <c r="AN73" s="901"/>
      <c r="AO73" s="901"/>
      <c r="AP73" s="901"/>
      <c r="AQ73" s="901"/>
      <c r="AR73" s="901"/>
    </row>
    <row r="74" spans="1:44" ht="6.75" customHeight="1" x14ac:dyDescent="0.3">
      <c r="A74" s="13"/>
      <c r="B74" s="60"/>
      <c r="C74" s="1"/>
      <c r="D74" s="1"/>
      <c r="E74" s="1"/>
      <c r="F74" s="1"/>
      <c r="G74" s="1"/>
      <c r="H74" s="1"/>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row>
    <row r="75" spans="1:44" ht="12.75" customHeight="1" x14ac:dyDescent="0.3">
      <c r="A75" s="13" t="s">
        <v>627</v>
      </c>
      <c r="B75" s="60"/>
      <c r="C75" s="1"/>
      <c r="D75" s="1"/>
      <c r="E75" s="1"/>
      <c r="F75" s="1"/>
      <c r="G75" s="1"/>
      <c r="H75" s="1"/>
      <c r="I75" s="902" t="s">
        <v>1236</v>
      </c>
      <c r="J75" s="902"/>
      <c r="K75" s="902"/>
      <c r="L75" s="902"/>
      <c r="M75" s="902"/>
      <c r="N75" s="902"/>
      <c r="O75" s="902"/>
      <c r="P75" s="902"/>
      <c r="Q75" s="902"/>
      <c r="R75" s="902"/>
      <c r="S75" s="902"/>
      <c r="T75" s="902"/>
      <c r="U75" s="902"/>
      <c r="V75" s="902"/>
      <c r="W75" s="902"/>
      <c r="X75" s="902"/>
      <c r="Y75" s="902"/>
      <c r="Z75" s="902"/>
      <c r="AA75" s="902"/>
      <c r="AB75" s="902"/>
      <c r="AC75" s="902"/>
      <c r="AD75" s="902"/>
      <c r="AE75" s="902"/>
      <c r="AF75" s="902"/>
      <c r="AG75" s="902"/>
      <c r="AH75" s="902"/>
      <c r="AI75" s="902"/>
      <c r="AJ75" s="902"/>
      <c r="AK75" s="902"/>
      <c r="AL75" s="902"/>
      <c r="AM75" s="902"/>
      <c r="AN75" s="902"/>
      <c r="AO75" s="902"/>
      <c r="AP75" s="902"/>
      <c r="AQ75" s="902"/>
      <c r="AR75" s="902"/>
    </row>
    <row r="76" spans="1:44" ht="6.75" customHeight="1" x14ac:dyDescent="0.3">
      <c r="A76" s="13"/>
      <c r="B76" s="60"/>
      <c r="C76" s="1"/>
      <c r="D76" s="1"/>
      <c r="E76" s="1"/>
      <c r="F76" s="1"/>
      <c r="G76" s="1"/>
      <c r="H76" s="1"/>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row>
    <row r="77" spans="1:44" x14ac:dyDescent="0.3">
      <c r="A77" s="13" t="s">
        <v>628</v>
      </c>
      <c r="B77" s="60"/>
      <c r="C77" s="1"/>
      <c r="D77" s="1"/>
      <c r="E77" s="1"/>
      <c r="F77" s="1"/>
      <c r="G77" s="1"/>
      <c r="H77" s="1"/>
      <c r="I77" s="900" t="s">
        <v>1205</v>
      </c>
      <c r="J77" s="900"/>
      <c r="K77" s="900"/>
      <c r="L77" s="900"/>
      <c r="M77" s="900"/>
      <c r="N77" s="900"/>
      <c r="O77" s="900"/>
      <c r="P77" s="900"/>
      <c r="Q77" s="900"/>
      <c r="R77" s="900"/>
      <c r="S77" s="900"/>
      <c r="T77" s="900"/>
      <c r="U77" s="900"/>
      <c r="V77" s="900"/>
      <c r="W77" s="900"/>
      <c r="X77" s="900"/>
      <c r="Y77" s="900"/>
      <c r="Z77" s="900"/>
      <c r="AA77" s="900"/>
      <c r="AB77" s="900"/>
      <c r="AC77" s="900"/>
      <c r="AD77" s="900"/>
      <c r="AE77" s="900"/>
      <c r="AF77" s="900"/>
      <c r="AG77" s="900"/>
      <c r="AH77" s="900"/>
      <c r="AI77" s="900"/>
      <c r="AJ77" s="900"/>
      <c r="AK77" s="900"/>
      <c r="AL77" s="900"/>
      <c r="AM77" s="900"/>
      <c r="AN77" s="900"/>
      <c r="AO77" s="900"/>
      <c r="AP77" s="900"/>
      <c r="AQ77" s="900"/>
      <c r="AR77" s="900"/>
    </row>
    <row r="78" spans="1:44" ht="6.75" customHeight="1" x14ac:dyDescent="0.3">
      <c r="A78" s="13"/>
      <c r="B78" s="60"/>
      <c r="C78" s="1"/>
      <c r="D78" s="1"/>
      <c r="E78" s="1"/>
      <c r="F78" s="1"/>
      <c r="G78" s="1"/>
      <c r="H78" s="1"/>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row>
    <row r="79" spans="1:44" x14ac:dyDescent="0.3">
      <c r="A79" s="13" t="s">
        <v>629</v>
      </c>
      <c r="B79" s="60"/>
      <c r="C79" s="1"/>
      <c r="D79" s="1"/>
      <c r="E79" s="1"/>
      <c r="F79" s="1"/>
      <c r="G79" s="1"/>
      <c r="H79" s="1"/>
      <c r="I79" s="904" t="s">
        <v>1206</v>
      </c>
      <c r="J79" s="904"/>
      <c r="K79" s="904"/>
      <c r="L79" s="904"/>
      <c r="M79" s="904"/>
      <c r="N79" s="904"/>
      <c r="O79" s="904"/>
      <c r="P79" s="904"/>
      <c r="Q79" s="904"/>
      <c r="R79" s="904"/>
      <c r="S79" s="904"/>
      <c r="T79" s="904"/>
      <c r="U79" s="904"/>
      <c r="V79" s="904"/>
      <c r="W79" s="904"/>
      <c r="X79" s="904"/>
      <c r="Y79" s="904"/>
      <c r="Z79" s="904"/>
      <c r="AA79" s="904"/>
      <c r="AB79" s="904"/>
      <c r="AC79" s="904"/>
      <c r="AD79" s="904"/>
      <c r="AE79" s="904"/>
      <c r="AF79" s="904"/>
      <c r="AG79" s="904"/>
      <c r="AH79" s="904"/>
      <c r="AI79" s="904"/>
      <c r="AJ79" s="904"/>
      <c r="AK79" s="904"/>
      <c r="AL79" s="904"/>
      <c r="AM79" s="904"/>
      <c r="AN79" s="904"/>
      <c r="AO79" s="904"/>
      <c r="AP79" s="904"/>
      <c r="AQ79" s="904"/>
      <c r="AR79" s="904"/>
    </row>
    <row r="80" spans="1:44" ht="6" customHeight="1" x14ac:dyDescent="0.3">
      <c r="A80" s="13"/>
      <c r="B80" s="60"/>
      <c r="C80" s="1"/>
      <c r="D80" s="1"/>
      <c r="E80" s="1"/>
      <c r="F80" s="1"/>
      <c r="G80" s="1"/>
      <c r="H80" s="1"/>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row>
    <row r="81" spans="1:44" x14ac:dyDescent="0.3">
      <c r="A81" s="13"/>
      <c r="B81" s="60"/>
      <c r="C81" s="1"/>
      <c r="D81" s="1"/>
      <c r="E81" s="36" t="s">
        <v>700</v>
      </c>
      <c r="G81" s="1"/>
      <c r="H81" s="1"/>
      <c r="I81" s="214"/>
      <c r="J81" s="706"/>
      <c r="K81" s="707"/>
      <c r="L81" s="707"/>
      <c r="M81" s="707"/>
      <c r="N81" s="707"/>
      <c r="O81" s="707"/>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8"/>
    </row>
    <row r="82" spans="1:44" s="1" customFormat="1" ht="4.5" customHeight="1" x14ac:dyDescent="0.3">
      <c r="A82" s="13"/>
      <c r="B82" s="104"/>
      <c r="E82" s="36"/>
      <c r="I82" s="214"/>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row>
    <row r="83" spans="1:44" ht="90" customHeight="1" x14ac:dyDescent="0.3">
      <c r="A83" s="13"/>
      <c r="B83" s="60"/>
      <c r="C83" s="1"/>
      <c r="D83" s="1"/>
      <c r="E83" s="55" t="str">
        <f>IF(J83&gt;"","REC",IF(calculations!Y65,"","REC"))</f>
        <v/>
      </c>
      <c r="G83" s="38"/>
      <c r="H83" s="1"/>
      <c r="I83" s="214"/>
      <c r="J83" s="706" t="str">
        <f>IF(calculations!Y65,"",CONCATENATE("FORMALIZE IF SIGNIFICANT:  ",Rec!E81))</f>
        <v/>
      </c>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8"/>
    </row>
    <row r="84" spans="1:44" x14ac:dyDescent="0.3">
      <c r="A84" s="13"/>
      <c r="B84" s="60"/>
      <c r="C84" s="1"/>
      <c r="D84" s="1"/>
      <c r="E84" s="11"/>
      <c r="F84" s="37"/>
      <c r="G84" s="38"/>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4.15" x14ac:dyDescent="0.35">
      <c r="A85" s="232" t="s">
        <v>855</v>
      </c>
      <c r="B85" s="60"/>
      <c r="C85" s="1"/>
      <c r="D85" s="58" t="s">
        <v>630</v>
      </c>
      <c r="E85" s="1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59" t="str">
        <f>calculations!AB71</f>
        <v/>
      </c>
      <c r="AL85" s="1"/>
      <c r="AM85" s="1"/>
      <c r="AN85" s="1"/>
      <c r="AO85" s="1"/>
      <c r="AP85" s="1"/>
      <c r="AQ85" s="1"/>
    </row>
    <row r="86" spans="1:44" ht="14.15" x14ac:dyDescent="0.3">
      <c r="A86" s="13"/>
      <c r="B86" s="60"/>
      <c r="C86" s="1"/>
      <c r="D86" s="60"/>
      <c r="E86" s="1"/>
      <c r="F86" s="1"/>
      <c r="H86" s="185" t="s">
        <v>767</v>
      </c>
      <c r="I86" s="61" t="s">
        <v>851</v>
      </c>
      <c r="J86" s="6"/>
      <c r="K86" s="6"/>
      <c r="L86" s="6"/>
      <c r="M86" s="6"/>
      <c r="N86" s="6"/>
      <c r="O86" s="6"/>
      <c r="P86" s="6"/>
      <c r="Q86" s="6"/>
      <c r="R86" s="6"/>
      <c r="S86" s="6"/>
      <c r="T86" s="6"/>
      <c r="U86" s="6"/>
      <c r="V86" s="6"/>
      <c r="W86" s="6"/>
      <c r="X86" s="6"/>
      <c r="Y86" s="1"/>
      <c r="Z86" s="61" t="s">
        <v>851</v>
      </c>
      <c r="AA86" s="1"/>
      <c r="AB86" s="6"/>
      <c r="AC86" s="6"/>
      <c r="AD86" s="6"/>
      <c r="AE86" s="6"/>
      <c r="AF86" s="6"/>
      <c r="AG86" s="6"/>
      <c r="AH86" s="6"/>
      <c r="AI86" s="6"/>
      <c r="AJ86" s="6"/>
      <c r="AK86" s="6"/>
      <c r="AL86" s="6"/>
      <c r="AM86" s="6"/>
      <c r="AN86" s="6"/>
      <c r="AO86" s="6"/>
      <c r="AP86" s="6"/>
      <c r="AQ86" s="6"/>
      <c r="AR86" s="89" t="str">
        <f>IF(calculations!AC75&gt;0,"COMPLETE DETAILS FOR GRADE","")</f>
        <v/>
      </c>
    </row>
    <row r="87" spans="1:44" ht="6.75" customHeight="1" x14ac:dyDescent="0.3">
      <c r="A87" s="13"/>
      <c r="B87" s="60"/>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row>
    <row r="88" spans="1:44" ht="26.25" customHeight="1" x14ac:dyDescent="0.3">
      <c r="A88" s="13" t="s">
        <v>631</v>
      </c>
      <c r="B88" s="60"/>
      <c r="C88" s="1"/>
      <c r="D88" s="1"/>
      <c r="E88" s="1"/>
      <c r="F88" s="1"/>
      <c r="G88" s="1"/>
      <c r="H88" s="1"/>
      <c r="I88" s="902" t="s">
        <v>1230</v>
      </c>
      <c r="J88" s="902"/>
      <c r="K88" s="902"/>
      <c r="L88" s="902"/>
      <c r="M88" s="902"/>
      <c r="N88" s="902"/>
      <c r="O88" s="902"/>
      <c r="P88" s="902"/>
      <c r="Q88" s="902"/>
      <c r="R88" s="902"/>
      <c r="S88" s="902"/>
      <c r="T88" s="902"/>
      <c r="U88" s="902"/>
      <c r="V88" s="902"/>
      <c r="W88" s="902"/>
      <c r="X88" s="902"/>
      <c r="Y88" s="902"/>
      <c r="Z88" s="902"/>
      <c r="AA88" s="902"/>
      <c r="AB88" s="902"/>
      <c r="AC88" s="902"/>
      <c r="AD88" s="902"/>
      <c r="AE88" s="902"/>
      <c r="AF88" s="902"/>
      <c r="AG88" s="902"/>
      <c r="AH88" s="902"/>
      <c r="AI88" s="902"/>
      <c r="AJ88" s="902"/>
      <c r="AK88" s="902"/>
      <c r="AL88" s="902"/>
      <c r="AM88" s="902"/>
      <c r="AN88" s="902"/>
      <c r="AO88" s="902"/>
      <c r="AP88" s="902"/>
      <c r="AQ88" s="902"/>
      <c r="AR88" s="902"/>
    </row>
    <row r="89" spans="1:44" ht="6.75" customHeight="1" x14ac:dyDescent="0.3">
      <c r="A89" s="13"/>
      <c r="B89" s="60"/>
      <c r="C89" s="1"/>
      <c r="D89" s="1"/>
      <c r="E89" s="1"/>
      <c r="F89" s="1"/>
      <c r="G89" s="1"/>
      <c r="H89" s="1"/>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row>
    <row r="90" spans="1:44" ht="28.5" customHeight="1" x14ac:dyDescent="0.3">
      <c r="A90" s="13" t="s">
        <v>632</v>
      </c>
      <c r="B90" s="60"/>
      <c r="C90" s="1"/>
      <c r="D90" s="1"/>
      <c r="E90" s="1"/>
      <c r="F90" s="1"/>
      <c r="G90" s="1"/>
      <c r="H90" s="1"/>
      <c r="I90" s="902" t="s">
        <v>1231</v>
      </c>
      <c r="J90" s="902"/>
      <c r="K90" s="902"/>
      <c r="L90" s="902"/>
      <c r="M90" s="902"/>
      <c r="N90" s="902"/>
      <c r="O90" s="902"/>
      <c r="P90" s="902"/>
      <c r="Q90" s="902"/>
      <c r="R90" s="902"/>
      <c r="S90" s="902"/>
      <c r="T90" s="902"/>
      <c r="U90" s="902"/>
      <c r="V90" s="902"/>
      <c r="W90" s="902"/>
      <c r="X90" s="902"/>
      <c r="Y90" s="902"/>
      <c r="Z90" s="902"/>
      <c r="AA90" s="902"/>
      <c r="AB90" s="902"/>
      <c r="AC90" s="902"/>
      <c r="AD90" s="902"/>
      <c r="AE90" s="902"/>
      <c r="AF90" s="902"/>
      <c r="AG90" s="902"/>
      <c r="AH90" s="902"/>
      <c r="AI90" s="902"/>
      <c r="AJ90" s="902"/>
      <c r="AK90" s="902"/>
      <c r="AL90" s="902"/>
      <c r="AM90" s="902"/>
      <c r="AN90" s="902"/>
      <c r="AO90" s="902"/>
      <c r="AP90" s="902"/>
      <c r="AQ90" s="902"/>
      <c r="AR90" s="902"/>
    </row>
    <row r="91" spans="1:44" ht="6.75" customHeight="1" x14ac:dyDescent="0.3">
      <c r="A91" s="13"/>
      <c r="B91" s="60"/>
      <c r="C91" s="1"/>
      <c r="D91" s="1"/>
      <c r="E91" s="1"/>
      <c r="F91" s="1"/>
      <c r="G91" s="1"/>
      <c r="H91" s="1"/>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row>
    <row r="92" spans="1:44" x14ac:dyDescent="0.3">
      <c r="A92" s="13" t="s">
        <v>633</v>
      </c>
      <c r="B92" s="60"/>
      <c r="C92" s="1"/>
      <c r="D92" s="1"/>
      <c r="E92" s="1"/>
      <c r="F92" s="1"/>
      <c r="G92" s="1"/>
      <c r="H92" s="1"/>
      <c r="I92" s="904" t="s">
        <v>1232</v>
      </c>
      <c r="J92" s="904"/>
      <c r="K92" s="904"/>
      <c r="L92" s="904"/>
      <c r="M92" s="904"/>
      <c r="N92" s="904"/>
      <c r="O92" s="904"/>
      <c r="P92" s="904"/>
      <c r="Q92" s="904"/>
      <c r="R92" s="904"/>
      <c r="S92" s="904"/>
      <c r="T92" s="904"/>
      <c r="U92" s="904"/>
      <c r="V92" s="904"/>
      <c r="W92" s="904"/>
      <c r="X92" s="904"/>
      <c r="Y92" s="904"/>
      <c r="Z92" s="904"/>
      <c r="AA92" s="904"/>
      <c r="AB92" s="904"/>
      <c r="AC92" s="904"/>
      <c r="AD92" s="904"/>
      <c r="AE92" s="904"/>
      <c r="AF92" s="904"/>
      <c r="AG92" s="904"/>
      <c r="AH92" s="904"/>
      <c r="AI92" s="904"/>
      <c r="AJ92" s="904"/>
      <c r="AK92" s="904"/>
      <c r="AL92" s="904"/>
      <c r="AM92" s="904"/>
      <c r="AN92" s="904"/>
      <c r="AO92" s="904"/>
      <c r="AP92" s="904"/>
      <c r="AQ92" s="904"/>
      <c r="AR92" s="904"/>
    </row>
    <row r="93" spans="1:44" ht="6.75" customHeight="1" x14ac:dyDescent="0.3">
      <c r="A93" s="13"/>
      <c r="B93" s="60"/>
      <c r="C93" s="1"/>
      <c r="D93" s="1"/>
      <c r="E93" s="1"/>
      <c r="F93" s="1"/>
      <c r="G93" s="1"/>
      <c r="H93" s="1"/>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row>
    <row r="94" spans="1:44" ht="39.75" customHeight="1" x14ac:dyDescent="0.3">
      <c r="A94" s="13" t="s">
        <v>634</v>
      </c>
      <c r="B94" s="60"/>
      <c r="C94" s="1"/>
      <c r="D94" s="1"/>
      <c r="E94" s="1"/>
      <c r="F94" s="1"/>
      <c r="G94" s="1"/>
      <c r="H94" s="1"/>
      <c r="I94" s="902" t="s">
        <v>1233</v>
      </c>
      <c r="J94" s="902"/>
      <c r="K94" s="902"/>
      <c r="L94" s="902"/>
      <c r="M94" s="902"/>
      <c r="N94" s="902"/>
      <c r="O94" s="902"/>
      <c r="P94" s="902"/>
      <c r="Q94" s="902"/>
      <c r="R94" s="902"/>
      <c r="S94" s="902"/>
      <c r="T94" s="902"/>
      <c r="U94" s="902"/>
      <c r="V94" s="902"/>
      <c r="W94" s="902"/>
      <c r="X94" s="902"/>
      <c r="Y94" s="902"/>
      <c r="Z94" s="902"/>
      <c r="AA94" s="902"/>
      <c r="AB94" s="902"/>
      <c r="AC94" s="902"/>
      <c r="AD94" s="902"/>
      <c r="AE94" s="902"/>
      <c r="AF94" s="902"/>
      <c r="AG94" s="902"/>
      <c r="AH94" s="902"/>
      <c r="AI94" s="902"/>
      <c r="AJ94" s="902"/>
      <c r="AK94" s="902"/>
      <c r="AL94" s="902"/>
      <c r="AM94" s="902"/>
      <c r="AN94" s="902"/>
      <c r="AO94" s="902"/>
      <c r="AP94" s="902"/>
      <c r="AQ94" s="902"/>
      <c r="AR94" s="902"/>
    </row>
    <row r="95" spans="1:44" ht="6.75" customHeight="1" x14ac:dyDescent="0.3">
      <c r="A95" s="13"/>
      <c r="B95" s="60"/>
      <c r="C95" s="7"/>
      <c r="D95" s="1"/>
      <c r="E95" s="1"/>
      <c r="F95" s="1"/>
      <c r="G95" s="1"/>
      <c r="H95" s="1"/>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row>
    <row r="96" spans="1:44" ht="26.25" customHeight="1" x14ac:dyDescent="0.3">
      <c r="A96" s="13"/>
      <c r="B96" s="60"/>
      <c r="C96" s="7"/>
      <c r="D96" s="1"/>
      <c r="E96" s="1"/>
      <c r="F96" s="1"/>
      <c r="G96" s="1"/>
      <c r="H96" s="62" t="str">
        <f>IF(calculations!AD75=1,"details","")</f>
        <v/>
      </c>
      <c r="I96" s="724" t="str">
        <f>IF(calculations!AD75=1,"Describe exposure and controls beyond pool chemicals or state only pool chemicals; note whether chlorine is gas, liquid, tablet, or granular.","")</f>
        <v/>
      </c>
      <c r="J96" s="725"/>
      <c r="K96" s="725"/>
      <c r="L96" s="725"/>
      <c r="M96" s="725"/>
      <c r="N96" s="725"/>
      <c r="O96" s="725"/>
      <c r="P96" s="725"/>
      <c r="Q96" s="725"/>
      <c r="R96" s="725"/>
      <c r="S96" s="725"/>
      <c r="T96" s="725"/>
      <c r="U96" s="725"/>
      <c r="V96" s="725"/>
      <c r="W96" s="725"/>
      <c r="X96" s="725"/>
      <c r="Y96" s="725"/>
      <c r="Z96" s="725"/>
      <c r="AA96" s="725"/>
      <c r="AB96" s="725"/>
      <c r="AC96" s="725"/>
      <c r="AD96" s="725"/>
      <c r="AE96" s="725"/>
      <c r="AF96" s="725"/>
      <c r="AG96" s="725"/>
      <c r="AH96" s="725"/>
      <c r="AI96" s="725"/>
      <c r="AJ96" s="725"/>
      <c r="AK96" s="725"/>
      <c r="AL96" s="725"/>
      <c r="AM96" s="725"/>
      <c r="AN96" s="725"/>
      <c r="AO96" s="725"/>
      <c r="AP96" s="725"/>
      <c r="AQ96" s="725"/>
      <c r="AR96" s="726"/>
    </row>
    <row r="97" spans="1:44" ht="6.75" customHeight="1" x14ac:dyDescent="0.3">
      <c r="A97" s="13"/>
      <c r="B97" s="60"/>
      <c r="C97" s="1"/>
      <c r="D97" s="1"/>
      <c r="E97" s="1"/>
      <c r="F97" s="1"/>
      <c r="G97" s="1"/>
      <c r="H97" s="1"/>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row>
    <row r="98" spans="1:44" x14ac:dyDescent="0.3">
      <c r="A98" s="13" t="s">
        <v>635</v>
      </c>
      <c r="B98" s="60"/>
      <c r="C98" s="1"/>
      <c r="D98" s="1"/>
      <c r="E98" s="1"/>
      <c r="F98" s="1"/>
      <c r="G98" s="1"/>
      <c r="H98" s="1"/>
      <c r="I98" s="902" t="s">
        <v>1207</v>
      </c>
      <c r="J98" s="902"/>
      <c r="K98" s="902"/>
      <c r="L98" s="902"/>
      <c r="M98" s="902"/>
      <c r="N98" s="902"/>
      <c r="O98" s="902"/>
      <c r="P98" s="902"/>
      <c r="Q98" s="902"/>
      <c r="R98" s="902"/>
      <c r="S98" s="902"/>
      <c r="T98" s="902"/>
      <c r="U98" s="902"/>
      <c r="V98" s="902"/>
      <c r="W98" s="902"/>
      <c r="X98" s="902"/>
      <c r="Y98" s="902"/>
      <c r="Z98" s="902"/>
      <c r="AA98" s="902"/>
      <c r="AB98" s="902"/>
      <c r="AC98" s="902"/>
      <c r="AD98" s="902"/>
      <c r="AE98" s="902"/>
      <c r="AF98" s="902"/>
      <c r="AG98" s="902"/>
      <c r="AH98" s="902"/>
      <c r="AI98" s="902"/>
      <c r="AJ98" s="902"/>
      <c r="AK98" s="902"/>
      <c r="AL98" s="902"/>
      <c r="AM98" s="902"/>
      <c r="AN98" s="902"/>
      <c r="AO98" s="902"/>
      <c r="AP98" s="902"/>
      <c r="AQ98" s="902"/>
      <c r="AR98" s="902"/>
    </row>
    <row r="99" spans="1:44" ht="6.75" customHeight="1" x14ac:dyDescent="0.3">
      <c r="A99" s="13"/>
      <c r="B99" s="60"/>
      <c r="C99" s="1"/>
      <c r="D99" s="1"/>
      <c r="E99" s="1"/>
      <c r="F99" s="1"/>
      <c r="G99" s="1"/>
      <c r="H99" s="1"/>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row>
    <row r="100" spans="1:44" ht="27" customHeight="1" x14ac:dyDescent="0.3">
      <c r="A100" s="13" t="s">
        <v>636</v>
      </c>
      <c r="B100" s="60"/>
      <c r="C100" s="1"/>
      <c r="D100" s="1"/>
      <c r="E100" s="1"/>
      <c r="F100" s="1"/>
      <c r="G100" s="1"/>
      <c r="H100" s="1"/>
      <c r="I100" s="902" t="s">
        <v>1234</v>
      </c>
      <c r="J100" s="902"/>
      <c r="K100" s="902"/>
      <c r="L100" s="902"/>
      <c r="M100" s="902"/>
      <c r="N100" s="902"/>
      <c r="O100" s="902"/>
      <c r="P100" s="902"/>
      <c r="Q100" s="902"/>
      <c r="R100" s="902"/>
      <c r="S100" s="902"/>
      <c r="T100" s="902"/>
      <c r="U100" s="902"/>
      <c r="V100" s="902"/>
      <c r="W100" s="902"/>
      <c r="X100" s="902"/>
      <c r="Y100" s="902"/>
      <c r="Z100" s="902"/>
      <c r="AA100" s="902"/>
      <c r="AB100" s="902"/>
      <c r="AC100" s="902"/>
      <c r="AD100" s="902"/>
      <c r="AE100" s="902"/>
      <c r="AF100" s="902"/>
      <c r="AG100" s="902"/>
      <c r="AH100" s="902"/>
      <c r="AI100" s="902"/>
      <c r="AJ100" s="902"/>
      <c r="AK100" s="902"/>
      <c r="AL100" s="902"/>
      <c r="AM100" s="902"/>
      <c r="AN100" s="902"/>
      <c r="AO100" s="902"/>
      <c r="AP100" s="902"/>
      <c r="AQ100" s="902"/>
      <c r="AR100" s="902"/>
    </row>
    <row r="101" spans="1:44" ht="6.75" customHeight="1" x14ac:dyDescent="0.3">
      <c r="A101" s="13"/>
      <c r="B101" s="60"/>
      <c r="C101" s="25"/>
      <c r="D101" s="1"/>
      <c r="E101" s="1"/>
      <c r="F101" s="1"/>
      <c r="G101" s="1"/>
      <c r="H101" s="1"/>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row>
    <row r="102" spans="1:44" ht="14.25" customHeight="1" x14ac:dyDescent="0.3">
      <c r="A102" s="13"/>
      <c r="B102" s="60"/>
      <c r="C102" s="25"/>
      <c r="D102" s="1"/>
      <c r="E102" s="1"/>
      <c r="F102" s="1"/>
      <c r="G102" s="1"/>
      <c r="H102" s="62" t="str">
        <f>IF(calculations!AD77=1,"details","")</f>
        <v/>
      </c>
      <c r="I102" s="724" t="str">
        <f>IF(calculations!AD77=1,"Describe exposure and controls.","")</f>
        <v/>
      </c>
      <c r="J102" s="725"/>
      <c r="K102" s="725"/>
      <c r="L102" s="725"/>
      <c r="M102" s="725"/>
      <c r="N102" s="725"/>
      <c r="O102" s="725"/>
      <c r="P102" s="725"/>
      <c r="Q102" s="725"/>
      <c r="R102" s="725"/>
      <c r="S102" s="725"/>
      <c r="T102" s="725"/>
      <c r="U102" s="725"/>
      <c r="V102" s="725"/>
      <c r="W102" s="725"/>
      <c r="X102" s="725"/>
      <c r="Y102" s="725"/>
      <c r="Z102" s="725"/>
      <c r="AA102" s="725"/>
      <c r="AB102" s="725"/>
      <c r="AC102" s="725"/>
      <c r="AD102" s="725"/>
      <c r="AE102" s="725"/>
      <c r="AF102" s="725"/>
      <c r="AG102" s="725"/>
      <c r="AH102" s="725"/>
      <c r="AI102" s="725"/>
      <c r="AJ102" s="725"/>
      <c r="AK102" s="725"/>
      <c r="AL102" s="725"/>
      <c r="AM102" s="725"/>
      <c r="AN102" s="725"/>
      <c r="AO102" s="725"/>
      <c r="AP102" s="725"/>
      <c r="AQ102" s="725"/>
      <c r="AR102" s="726"/>
    </row>
    <row r="103" spans="1:44" ht="6.75" customHeight="1" x14ac:dyDescent="0.3">
      <c r="A103" s="13"/>
      <c r="B103" s="60"/>
      <c r="C103" s="1"/>
      <c r="D103" s="1"/>
      <c r="E103" s="1"/>
      <c r="F103" s="1"/>
      <c r="G103" s="1"/>
      <c r="H103" s="1"/>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row>
    <row r="104" spans="1:44" x14ac:dyDescent="0.3">
      <c r="A104" s="13" t="s">
        <v>637</v>
      </c>
      <c r="B104" s="60"/>
      <c r="C104" s="1"/>
      <c r="D104" s="1"/>
      <c r="E104" s="1"/>
      <c r="F104" s="1"/>
      <c r="G104" s="1"/>
      <c r="H104" s="1"/>
      <c r="I104" s="902" t="s">
        <v>1235</v>
      </c>
      <c r="J104" s="902"/>
      <c r="K104" s="902"/>
      <c r="L104" s="902"/>
      <c r="M104" s="902"/>
      <c r="N104" s="902"/>
      <c r="O104" s="902"/>
      <c r="P104" s="902"/>
      <c r="Q104" s="902"/>
      <c r="R104" s="902"/>
      <c r="S104" s="902"/>
      <c r="T104" s="902"/>
      <c r="U104" s="902"/>
      <c r="V104" s="902"/>
      <c r="W104" s="902"/>
      <c r="X104" s="902"/>
      <c r="Y104" s="902"/>
      <c r="Z104" s="902"/>
      <c r="AA104" s="902"/>
      <c r="AB104" s="902"/>
      <c r="AC104" s="902"/>
      <c r="AD104" s="902"/>
      <c r="AE104" s="902"/>
      <c r="AF104" s="902"/>
      <c r="AG104" s="902"/>
      <c r="AH104" s="902"/>
      <c r="AI104" s="902"/>
      <c r="AJ104" s="902"/>
      <c r="AK104" s="902"/>
      <c r="AL104" s="902"/>
      <c r="AM104" s="902"/>
      <c r="AN104" s="902"/>
      <c r="AO104" s="902"/>
      <c r="AP104" s="902"/>
      <c r="AQ104" s="902"/>
      <c r="AR104" s="902"/>
    </row>
    <row r="105" spans="1:44" ht="6.75" customHeight="1" x14ac:dyDescent="0.3">
      <c r="A105" s="13"/>
      <c r="B105" s="60"/>
      <c r="C105" s="25"/>
      <c r="D105" s="6"/>
      <c r="E105" s="6"/>
      <c r="F105" s="6"/>
      <c r="G105" s="6"/>
      <c r="H105" s="6"/>
      <c r="I105" s="236"/>
      <c r="J105" s="236"/>
      <c r="K105" s="236"/>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c r="AR105" s="236"/>
    </row>
    <row r="106" spans="1:44" ht="14.15" x14ac:dyDescent="0.3">
      <c r="A106" s="13"/>
      <c r="B106" s="60"/>
      <c r="C106" s="25"/>
      <c r="D106" s="6"/>
      <c r="E106" s="6"/>
      <c r="F106" s="6"/>
      <c r="G106" s="6"/>
      <c r="H106" s="62" t="str">
        <f>IF(calculations!AD78=1,"details","")</f>
        <v/>
      </c>
      <c r="I106" s="724" t="str">
        <f>IF(calculations!AD78=1,"Describe confined space exposure and controls.","")</f>
        <v/>
      </c>
      <c r="J106" s="725"/>
      <c r="K106" s="725"/>
      <c r="L106" s="725"/>
      <c r="M106" s="725"/>
      <c r="N106" s="725"/>
      <c r="O106" s="725"/>
      <c r="P106" s="725"/>
      <c r="Q106" s="725"/>
      <c r="R106" s="725"/>
      <c r="S106" s="725"/>
      <c r="T106" s="725"/>
      <c r="U106" s="725"/>
      <c r="V106" s="725"/>
      <c r="W106" s="725"/>
      <c r="X106" s="725"/>
      <c r="Y106" s="725"/>
      <c r="Z106" s="725"/>
      <c r="AA106" s="725"/>
      <c r="AB106" s="725"/>
      <c r="AC106" s="725"/>
      <c r="AD106" s="725"/>
      <c r="AE106" s="725"/>
      <c r="AF106" s="725"/>
      <c r="AG106" s="725"/>
      <c r="AH106" s="725"/>
      <c r="AI106" s="725"/>
      <c r="AJ106" s="725"/>
      <c r="AK106" s="725"/>
      <c r="AL106" s="725"/>
      <c r="AM106" s="725"/>
      <c r="AN106" s="725"/>
      <c r="AO106" s="725"/>
      <c r="AP106" s="725"/>
      <c r="AQ106" s="725"/>
      <c r="AR106" s="726"/>
    </row>
    <row r="107" spans="1:44" ht="6.75" customHeight="1" x14ac:dyDescent="0.3">
      <c r="A107" s="13"/>
      <c r="B107" s="60"/>
      <c r="C107" s="1"/>
      <c r="D107" s="6"/>
      <c r="E107" s="6"/>
      <c r="F107" s="6"/>
      <c r="G107" s="6"/>
      <c r="H107" s="6"/>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row>
    <row r="108" spans="1:44" x14ac:dyDescent="0.3">
      <c r="A108" s="13"/>
      <c r="B108" s="60"/>
      <c r="C108" s="1"/>
      <c r="D108" s="1"/>
      <c r="E108" s="36" t="s">
        <v>700</v>
      </c>
      <c r="G108" s="1"/>
      <c r="H108" s="1"/>
      <c r="I108" s="214"/>
      <c r="J108" s="706"/>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8"/>
    </row>
    <row r="109" spans="1:44" s="1" customFormat="1" ht="4.5" customHeight="1" x14ac:dyDescent="0.3">
      <c r="A109" s="13"/>
      <c r="B109" s="104"/>
      <c r="E109" s="36"/>
      <c r="I109" s="214"/>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row>
    <row r="110" spans="1:44" ht="153.75" customHeight="1" x14ac:dyDescent="0.3">
      <c r="A110" s="13"/>
      <c r="B110" s="60"/>
      <c r="C110" s="1"/>
      <c r="D110" s="1"/>
      <c r="E110" s="55" t="str">
        <f>IF(J110&gt;"","REC",IF(calculations!Y73,"","REC"))</f>
        <v/>
      </c>
      <c r="G110" s="38"/>
      <c r="H110" s="1"/>
      <c r="I110" s="214"/>
      <c r="J110" s="706" t="str">
        <f>IF(calculations!Y73,"",CONCATENATE("FORMALIZE IF SIGNIFICANT:  ",Rec!E88))</f>
        <v/>
      </c>
      <c r="K110" s="707"/>
      <c r="L110" s="707"/>
      <c r="M110" s="707"/>
      <c r="N110" s="707"/>
      <c r="O110" s="707"/>
      <c r="P110" s="707"/>
      <c r="Q110" s="707"/>
      <c r="R110" s="707"/>
      <c r="S110" s="707"/>
      <c r="T110" s="707"/>
      <c r="U110" s="707"/>
      <c r="V110" s="707"/>
      <c r="W110" s="707"/>
      <c r="X110" s="707"/>
      <c r="Y110" s="707"/>
      <c r="Z110" s="707"/>
      <c r="AA110" s="707"/>
      <c r="AB110" s="707"/>
      <c r="AC110" s="707"/>
      <c r="AD110" s="707"/>
      <c r="AE110" s="707"/>
      <c r="AF110" s="707"/>
      <c r="AG110" s="707"/>
      <c r="AH110" s="707"/>
      <c r="AI110" s="707"/>
      <c r="AJ110" s="707"/>
      <c r="AK110" s="707"/>
      <c r="AL110" s="707"/>
      <c r="AM110" s="707"/>
      <c r="AN110" s="707"/>
      <c r="AO110" s="707"/>
      <c r="AP110" s="707"/>
      <c r="AQ110" s="707"/>
      <c r="AR110" s="708"/>
    </row>
    <row r="111" spans="1:44" x14ac:dyDescent="0.3">
      <c r="A111" s="13"/>
      <c r="B111" s="60"/>
      <c r="C111" s="1"/>
      <c r="D111" s="1"/>
      <c r="E111" s="11"/>
      <c r="F111" s="37"/>
      <c r="G111" s="38"/>
      <c r="H111" s="1"/>
      <c r="I111" s="1"/>
      <c r="J111" s="25"/>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4.15" x14ac:dyDescent="0.35">
      <c r="A112" s="232" t="s">
        <v>856</v>
      </c>
      <c r="B112" s="60"/>
      <c r="C112" s="1"/>
      <c r="D112" s="58" t="s">
        <v>638</v>
      </c>
      <c r="E112" s="1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59" t="str">
        <f>calculations!AB79</f>
        <v/>
      </c>
      <c r="AL112" s="1"/>
      <c r="AM112" s="1"/>
      <c r="AN112" s="1"/>
      <c r="AO112" s="1"/>
      <c r="AP112" s="1"/>
      <c r="AQ112" s="1"/>
      <c r="AR112" s="1"/>
    </row>
    <row r="113" spans="1:44" ht="14.15" x14ac:dyDescent="0.3">
      <c r="A113" s="13"/>
      <c r="B113" s="60"/>
      <c r="C113" s="1"/>
      <c r="D113" s="60"/>
      <c r="E113" s="1"/>
      <c r="F113" s="1"/>
      <c r="G113" s="1"/>
      <c r="H113" s="185" t="s">
        <v>767</v>
      </c>
      <c r="I113" s="61" t="s">
        <v>851</v>
      </c>
      <c r="J113" s="6"/>
      <c r="K113" s="6"/>
      <c r="L113" s="6"/>
      <c r="M113" s="6"/>
      <c r="N113" s="6"/>
      <c r="O113" s="6"/>
      <c r="P113" s="6"/>
      <c r="Q113" s="6"/>
      <c r="R113" s="6"/>
      <c r="S113" s="6"/>
      <c r="T113" s="6"/>
      <c r="U113" s="6"/>
      <c r="V113" s="6"/>
      <c r="W113" s="6"/>
      <c r="X113" s="6"/>
      <c r="Y113" s="1"/>
      <c r="Z113" s="61"/>
      <c r="AA113" s="6"/>
      <c r="AB113" s="6"/>
      <c r="AC113" s="6"/>
      <c r="AD113" s="6"/>
      <c r="AE113" s="6"/>
      <c r="AF113" s="6"/>
      <c r="AG113" s="6"/>
      <c r="AH113" s="6"/>
      <c r="AI113" s="6"/>
      <c r="AJ113" s="6"/>
      <c r="AK113" s="1"/>
      <c r="AL113" s="6"/>
      <c r="AM113" s="6"/>
      <c r="AN113" s="6"/>
      <c r="AO113" s="6"/>
      <c r="AP113" s="6"/>
      <c r="AQ113" s="6"/>
      <c r="AR113" s="89" t="str">
        <f>IF(calculations!AC81&gt;0,"COMPLETE DETAILS FOR GRADE","")</f>
        <v/>
      </c>
    </row>
    <row r="114" spans="1:44" ht="6.75" customHeight="1" x14ac:dyDescent="0.3">
      <c r="A114" s="13"/>
      <c r="B114" s="60"/>
      <c r="C114" s="1"/>
      <c r="D114" s="1"/>
      <c r="E114" s="1"/>
      <c r="F114" s="1"/>
      <c r="G114" s="1"/>
      <c r="H114" s="1"/>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row>
    <row r="115" spans="1:44" x14ac:dyDescent="0.3">
      <c r="A115" s="13" t="s">
        <v>639</v>
      </c>
      <c r="B115" s="60"/>
      <c r="C115" s="1"/>
      <c r="D115" s="1"/>
      <c r="E115" s="1"/>
      <c r="F115" s="1"/>
      <c r="G115" s="1"/>
      <c r="H115" s="1"/>
      <c r="I115" s="902" t="s">
        <v>1208</v>
      </c>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row>
    <row r="116" spans="1:44" ht="6.75" customHeight="1" x14ac:dyDescent="0.3">
      <c r="A116" s="13"/>
      <c r="B116" s="60"/>
      <c r="C116" s="1"/>
      <c r="D116" s="1"/>
      <c r="E116" s="1"/>
      <c r="F116" s="1"/>
      <c r="G116" s="1"/>
      <c r="H116" s="1"/>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row>
    <row r="117" spans="1:44" ht="25.5" customHeight="1" x14ac:dyDescent="0.3">
      <c r="A117" s="13" t="s">
        <v>640</v>
      </c>
      <c r="B117" s="60"/>
      <c r="C117" s="1"/>
      <c r="D117" s="1"/>
      <c r="E117" s="1"/>
      <c r="F117" s="1"/>
      <c r="G117" s="1"/>
      <c r="H117" s="1"/>
      <c r="I117" s="902" t="s">
        <v>1228</v>
      </c>
      <c r="J117" s="902"/>
      <c r="K117" s="902"/>
      <c r="L117" s="902"/>
      <c r="M117" s="902"/>
      <c r="N117" s="902"/>
      <c r="O117" s="902"/>
      <c r="P117" s="902"/>
      <c r="Q117" s="902"/>
      <c r="R117" s="902"/>
      <c r="S117" s="902"/>
      <c r="T117" s="902"/>
      <c r="U117" s="902"/>
      <c r="V117" s="902"/>
      <c r="W117" s="902"/>
      <c r="X117" s="902"/>
      <c r="Y117" s="902"/>
      <c r="Z117" s="902"/>
      <c r="AA117" s="902"/>
      <c r="AB117" s="902"/>
      <c r="AC117" s="902"/>
      <c r="AD117" s="902"/>
      <c r="AE117" s="902"/>
      <c r="AF117" s="902"/>
      <c r="AG117" s="902"/>
      <c r="AH117" s="902"/>
      <c r="AI117" s="902"/>
      <c r="AJ117" s="902"/>
      <c r="AK117" s="902"/>
      <c r="AL117" s="902"/>
      <c r="AM117" s="902"/>
      <c r="AN117" s="902"/>
      <c r="AO117" s="902"/>
      <c r="AP117" s="902"/>
      <c r="AQ117" s="902"/>
      <c r="AR117" s="902"/>
    </row>
    <row r="118" spans="1:44" ht="6.75" customHeight="1" x14ac:dyDescent="0.3">
      <c r="A118" s="13"/>
      <c r="B118" s="60"/>
      <c r="C118" s="1"/>
      <c r="D118" s="1"/>
      <c r="E118" s="1"/>
      <c r="F118" s="1"/>
      <c r="G118" s="1"/>
      <c r="H118" s="1"/>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row>
    <row r="119" spans="1:44" ht="39" customHeight="1" x14ac:dyDescent="0.3">
      <c r="A119" s="13"/>
      <c r="B119" s="60"/>
      <c r="C119" s="1"/>
      <c r="D119" s="1"/>
      <c r="E119" s="1"/>
      <c r="F119" s="1"/>
      <c r="G119" s="1"/>
      <c r="H119" s="62" t="str">
        <f>IF(calculations!AD81=1,"details","")</f>
        <v/>
      </c>
      <c r="I119" s="724" t="str">
        <f>IF(calculations!AD81=1,"Approximate frequency, distance, and number of employees who transport others; approximate number and frequency of employees transported by staff; vehicle types; training for those who transport others, comment on any extended or night driving duties.","")</f>
        <v/>
      </c>
      <c r="J119" s="725"/>
      <c r="K119" s="725"/>
      <c r="L119" s="725"/>
      <c r="M119" s="725"/>
      <c r="N119" s="725"/>
      <c r="O119" s="725"/>
      <c r="P119" s="725"/>
      <c r="Q119" s="725"/>
      <c r="R119" s="725"/>
      <c r="S119" s="725"/>
      <c r="T119" s="725"/>
      <c r="U119" s="725"/>
      <c r="V119" s="725"/>
      <c r="W119" s="725"/>
      <c r="X119" s="725"/>
      <c r="Y119" s="725"/>
      <c r="Z119" s="725"/>
      <c r="AA119" s="725"/>
      <c r="AB119" s="725"/>
      <c r="AC119" s="725"/>
      <c r="AD119" s="725"/>
      <c r="AE119" s="725"/>
      <c r="AF119" s="725"/>
      <c r="AG119" s="725"/>
      <c r="AH119" s="725"/>
      <c r="AI119" s="725"/>
      <c r="AJ119" s="725"/>
      <c r="AK119" s="725"/>
      <c r="AL119" s="725"/>
      <c r="AM119" s="725"/>
      <c r="AN119" s="725"/>
      <c r="AO119" s="725"/>
      <c r="AP119" s="725"/>
      <c r="AQ119" s="725"/>
      <c r="AR119" s="726"/>
    </row>
    <row r="120" spans="1:44" ht="6.75" customHeight="1" x14ac:dyDescent="0.3">
      <c r="A120" s="13"/>
      <c r="B120" s="60"/>
      <c r="C120" s="1"/>
      <c r="D120" s="1"/>
      <c r="E120" s="1"/>
      <c r="F120" s="1"/>
      <c r="G120" s="1"/>
      <c r="H120" s="1"/>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row>
    <row r="121" spans="1:44" ht="26.25" customHeight="1" x14ac:dyDescent="0.3">
      <c r="A121" s="13" t="s">
        <v>641</v>
      </c>
      <c r="B121" s="60"/>
      <c r="C121" s="1"/>
      <c r="D121" s="1"/>
      <c r="E121" s="1"/>
      <c r="F121" s="1"/>
      <c r="G121" s="1"/>
      <c r="H121" s="1"/>
      <c r="I121" s="902" t="s">
        <v>1229</v>
      </c>
      <c r="J121" s="902"/>
      <c r="K121" s="902"/>
      <c r="L121" s="902"/>
      <c r="M121" s="902"/>
      <c r="N121" s="902"/>
      <c r="O121" s="902"/>
      <c r="P121" s="902"/>
      <c r="Q121" s="902"/>
      <c r="R121" s="902"/>
      <c r="S121" s="902"/>
      <c r="T121" s="902"/>
      <c r="U121" s="902"/>
      <c r="V121" s="902"/>
      <c r="W121" s="902"/>
      <c r="X121" s="902"/>
      <c r="Y121" s="902"/>
      <c r="Z121" s="902"/>
      <c r="AA121" s="902"/>
      <c r="AB121" s="902"/>
      <c r="AC121" s="902"/>
      <c r="AD121" s="902"/>
      <c r="AE121" s="902"/>
      <c r="AF121" s="902"/>
      <c r="AG121" s="902"/>
      <c r="AH121" s="902"/>
      <c r="AI121" s="902"/>
      <c r="AJ121" s="902"/>
      <c r="AK121" s="902"/>
      <c r="AL121" s="902"/>
      <c r="AM121" s="902"/>
      <c r="AN121" s="902"/>
      <c r="AO121" s="902"/>
      <c r="AP121" s="902"/>
      <c r="AQ121" s="902"/>
      <c r="AR121" s="902"/>
    </row>
    <row r="122" spans="1:44" ht="6.75" customHeight="1" x14ac:dyDescent="0.3">
      <c r="A122" s="13"/>
      <c r="B122" s="60"/>
      <c r="C122" s="1"/>
      <c r="D122" s="1"/>
      <c r="E122" s="1"/>
      <c r="F122" s="1"/>
      <c r="G122" s="1"/>
      <c r="H122" s="1"/>
      <c r="I122" s="236"/>
      <c r="J122" s="236"/>
      <c r="K122" s="236"/>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236"/>
      <c r="AM122" s="236"/>
      <c r="AN122" s="236"/>
      <c r="AO122" s="236"/>
      <c r="AP122" s="236"/>
      <c r="AQ122" s="236"/>
      <c r="AR122" s="236"/>
    </row>
    <row r="123" spans="1:44" ht="27.75" customHeight="1" x14ac:dyDescent="0.3">
      <c r="A123" s="13" t="s">
        <v>642</v>
      </c>
      <c r="B123" s="60"/>
      <c r="C123" s="1"/>
      <c r="D123" s="1"/>
      <c r="E123" s="1"/>
      <c r="F123" s="1"/>
      <c r="G123" s="1"/>
      <c r="H123" s="62" t="str">
        <f>IF(calculations!AD82=1,"details","")</f>
        <v/>
      </c>
      <c r="I123" s="724" t="str">
        <f>IF(calculations!AD82=1,"Approximate frequency, distance, and number of employees who drive; reason for trips; vehicle types; training for those who drive, comment on any extended or night driving duties.","")</f>
        <v/>
      </c>
      <c r="J123" s="725"/>
      <c r="K123" s="725"/>
      <c r="L123" s="725"/>
      <c r="M123" s="725"/>
      <c r="N123" s="725"/>
      <c r="O123" s="725"/>
      <c r="P123" s="725"/>
      <c r="Q123" s="725"/>
      <c r="R123" s="725"/>
      <c r="S123" s="725"/>
      <c r="T123" s="725"/>
      <c r="U123" s="725"/>
      <c r="V123" s="725"/>
      <c r="W123" s="725"/>
      <c r="X123" s="725"/>
      <c r="Y123" s="725"/>
      <c r="Z123" s="725"/>
      <c r="AA123" s="725"/>
      <c r="AB123" s="725"/>
      <c r="AC123" s="725"/>
      <c r="AD123" s="725"/>
      <c r="AE123" s="725"/>
      <c r="AF123" s="725"/>
      <c r="AG123" s="725"/>
      <c r="AH123" s="725"/>
      <c r="AI123" s="725"/>
      <c r="AJ123" s="725"/>
      <c r="AK123" s="725"/>
      <c r="AL123" s="725"/>
      <c r="AM123" s="725"/>
      <c r="AN123" s="725"/>
      <c r="AO123" s="725"/>
      <c r="AP123" s="725"/>
      <c r="AQ123" s="725"/>
      <c r="AR123" s="726"/>
    </row>
    <row r="124" spans="1:44" ht="6.75" customHeight="1" x14ac:dyDescent="0.3">
      <c r="A124" s="13"/>
      <c r="B124" s="60"/>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row>
    <row r="125" spans="1:44" x14ac:dyDescent="0.3">
      <c r="A125" s="13"/>
      <c r="B125" s="60"/>
      <c r="C125" s="1"/>
      <c r="D125" s="1"/>
      <c r="E125" s="1"/>
      <c r="F125" s="1"/>
      <c r="G125" s="1"/>
      <c r="H125" s="1"/>
      <c r="I125" s="902" t="s">
        <v>1209</v>
      </c>
      <c r="J125" s="902"/>
      <c r="K125" s="902"/>
      <c r="L125" s="902"/>
      <c r="M125" s="902"/>
      <c r="N125" s="902"/>
      <c r="O125" s="902"/>
      <c r="P125" s="902"/>
      <c r="Q125" s="902"/>
      <c r="R125" s="902"/>
      <c r="S125" s="902"/>
      <c r="T125" s="902"/>
      <c r="U125" s="902"/>
      <c r="V125" s="902"/>
      <c r="W125" s="902"/>
      <c r="X125" s="902"/>
      <c r="Y125" s="902"/>
      <c r="Z125" s="902"/>
      <c r="AA125" s="902"/>
      <c r="AB125" s="902"/>
      <c r="AC125" s="902"/>
      <c r="AD125" s="902"/>
      <c r="AE125" s="902"/>
      <c r="AF125" s="902"/>
      <c r="AG125" s="902"/>
      <c r="AH125" s="902"/>
      <c r="AI125" s="902"/>
      <c r="AJ125" s="902"/>
      <c r="AK125" s="902"/>
      <c r="AL125" s="902"/>
      <c r="AM125" s="902"/>
      <c r="AN125" s="902"/>
      <c r="AO125" s="902"/>
      <c r="AP125" s="902"/>
      <c r="AQ125" s="902"/>
      <c r="AR125" s="902"/>
    </row>
    <row r="126" spans="1:44" ht="6.75" customHeight="1" x14ac:dyDescent="0.3">
      <c r="A126" s="13"/>
      <c r="B126" s="60"/>
      <c r="C126" s="1"/>
      <c r="D126" s="1"/>
      <c r="E126" s="1"/>
      <c r="F126" s="1"/>
      <c r="G126" s="1"/>
      <c r="H126" s="1"/>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row>
    <row r="127" spans="1:44" ht="27.75" customHeight="1" x14ac:dyDescent="0.3">
      <c r="A127" s="13" t="s">
        <v>643</v>
      </c>
      <c r="B127" s="60"/>
      <c r="C127" s="1"/>
      <c r="D127" s="1"/>
      <c r="E127" s="1"/>
      <c r="F127" s="1"/>
      <c r="G127" s="1"/>
      <c r="H127" s="1"/>
      <c r="I127" s="902" t="s">
        <v>1210</v>
      </c>
      <c r="J127" s="902"/>
      <c r="K127" s="902"/>
      <c r="L127" s="902"/>
      <c r="M127" s="902"/>
      <c r="N127" s="902"/>
      <c r="O127" s="902"/>
      <c r="P127" s="902"/>
      <c r="Q127" s="902"/>
      <c r="R127" s="902"/>
      <c r="S127" s="902"/>
      <c r="T127" s="902"/>
      <c r="U127" s="902"/>
      <c r="V127" s="902"/>
      <c r="W127" s="902"/>
      <c r="X127" s="902"/>
      <c r="Y127" s="902"/>
      <c r="Z127" s="902"/>
      <c r="AA127" s="902"/>
      <c r="AB127" s="902"/>
      <c r="AC127" s="902"/>
      <c r="AD127" s="902"/>
      <c r="AE127" s="902"/>
      <c r="AF127" s="902"/>
      <c r="AG127" s="902"/>
      <c r="AH127" s="902"/>
      <c r="AI127" s="902"/>
      <c r="AJ127" s="902"/>
      <c r="AK127" s="902"/>
      <c r="AL127" s="902"/>
      <c r="AM127" s="902"/>
      <c r="AN127" s="902"/>
      <c r="AO127" s="902"/>
      <c r="AP127" s="902"/>
      <c r="AQ127" s="902"/>
      <c r="AR127" s="902"/>
    </row>
    <row r="128" spans="1:44" ht="6.75" customHeight="1" x14ac:dyDescent="0.3">
      <c r="A128" s="13"/>
      <c r="B128" s="60"/>
      <c r="C128" s="1"/>
      <c r="D128" s="1"/>
      <c r="E128" s="1"/>
      <c r="F128" s="1"/>
      <c r="G128" s="1"/>
      <c r="H128" s="1"/>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row>
    <row r="129" spans="1:44" x14ac:dyDescent="0.3">
      <c r="A129" s="13" t="s">
        <v>644</v>
      </c>
      <c r="B129" s="60"/>
      <c r="C129" s="1"/>
      <c r="D129" s="1"/>
      <c r="E129" s="1"/>
      <c r="F129" s="1"/>
      <c r="G129" s="1"/>
      <c r="H129" s="1"/>
      <c r="I129" s="900" t="s">
        <v>1211</v>
      </c>
      <c r="J129" s="900"/>
      <c r="K129" s="900"/>
      <c r="L129" s="900"/>
      <c r="M129" s="900"/>
      <c r="N129" s="900"/>
      <c r="O129" s="900"/>
      <c r="P129" s="900"/>
      <c r="Q129" s="900"/>
      <c r="R129" s="900"/>
      <c r="S129" s="900"/>
      <c r="T129" s="900"/>
      <c r="U129" s="900"/>
      <c r="V129" s="900"/>
      <c r="W129" s="900"/>
      <c r="X129" s="900"/>
      <c r="Y129" s="900"/>
      <c r="Z129" s="900"/>
      <c r="AA129" s="900"/>
      <c r="AB129" s="900"/>
      <c r="AC129" s="900"/>
      <c r="AD129" s="900"/>
      <c r="AE129" s="900"/>
      <c r="AF129" s="900"/>
      <c r="AG129" s="900"/>
      <c r="AH129" s="900"/>
      <c r="AI129" s="900"/>
      <c r="AJ129" s="900"/>
      <c r="AK129" s="900"/>
      <c r="AL129" s="900"/>
      <c r="AM129" s="900"/>
      <c r="AN129" s="900"/>
      <c r="AO129" s="900"/>
      <c r="AP129" s="900"/>
      <c r="AQ129" s="900"/>
      <c r="AR129" s="900"/>
    </row>
    <row r="130" spans="1:44" ht="6.75" customHeight="1" x14ac:dyDescent="0.3">
      <c r="A130" s="13"/>
      <c r="B130" s="60"/>
      <c r="C130" s="1"/>
      <c r="D130" s="1"/>
      <c r="E130" s="1"/>
      <c r="F130" s="1"/>
      <c r="G130" s="1"/>
      <c r="H130" s="1"/>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row>
    <row r="131" spans="1:44" ht="26.25" customHeight="1" x14ac:dyDescent="0.3">
      <c r="A131" s="13" t="s">
        <v>645</v>
      </c>
      <c r="B131" s="60"/>
      <c r="C131" s="1"/>
      <c r="D131" s="1"/>
      <c r="E131" s="1"/>
      <c r="F131" s="1"/>
      <c r="G131" s="1"/>
      <c r="H131" s="1"/>
      <c r="I131" s="902" t="s">
        <v>1212</v>
      </c>
      <c r="J131" s="902"/>
      <c r="K131" s="902"/>
      <c r="L131" s="902"/>
      <c r="M131" s="902"/>
      <c r="N131" s="902"/>
      <c r="O131" s="902"/>
      <c r="P131" s="902"/>
      <c r="Q131" s="902"/>
      <c r="R131" s="902"/>
      <c r="S131" s="902"/>
      <c r="T131" s="902"/>
      <c r="U131" s="902"/>
      <c r="V131" s="902"/>
      <c r="W131" s="902"/>
      <c r="X131" s="902"/>
      <c r="Y131" s="902"/>
      <c r="Z131" s="902"/>
      <c r="AA131" s="902"/>
      <c r="AB131" s="902"/>
      <c r="AC131" s="902"/>
      <c r="AD131" s="902"/>
      <c r="AE131" s="902"/>
      <c r="AF131" s="902"/>
      <c r="AG131" s="902"/>
      <c r="AH131" s="902"/>
      <c r="AI131" s="902"/>
      <c r="AJ131" s="902"/>
      <c r="AK131" s="902"/>
      <c r="AL131" s="902"/>
      <c r="AM131" s="902"/>
      <c r="AN131" s="902"/>
      <c r="AO131" s="902"/>
      <c r="AP131" s="902"/>
      <c r="AQ131" s="902"/>
      <c r="AR131" s="902"/>
    </row>
    <row r="132" spans="1:44" ht="6.75" customHeight="1" x14ac:dyDescent="0.3">
      <c r="A132" s="13"/>
      <c r="B132" s="60"/>
      <c r="C132" s="1"/>
      <c r="D132" s="1"/>
      <c r="E132" s="1"/>
      <c r="F132" s="1"/>
      <c r="G132" s="1"/>
      <c r="H132" s="1"/>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236"/>
      <c r="AP132" s="236"/>
      <c r="AQ132" s="236"/>
      <c r="AR132" s="236"/>
    </row>
    <row r="133" spans="1:44" x14ac:dyDescent="0.3">
      <c r="A133" s="13"/>
      <c r="B133" s="60"/>
      <c r="C133" s="1"/>
      <c r="D133" s="1"/>
      <c r="E133" s="1"/>
      <c r="F133" s="1"/>
      <c r="G133" s="1"/>
      <c r="H133" s="62" t="str">
        <f>IF(calculations!AD86=1,"details","")</f>
        <v/>
      </c>
      <c r="I133" s="724" t="str">
        <f>IF(calculations!AD86=1,"Describe which PPE is needed why it is needed, and if it is used.","")</f>
        <v/>
      </c>
      <c r="J133" s="725"/>
      <c r="K133" s="725"/>
      <c r="L133" s="725"/>
      <c r="M133" s="725"/>
      <c r="N133" s="725"/>
      <c r="O133" s="725"/>
      <c r="P133" s="725"/>
      <c r="Q133" s="725"/>
      <c r="R133" s="725"/>
      <c r="S133" s="725"/>
      <c r="T133" s="725"/>
      <c r="U133" s="725"/>
      <c r="V133" s="725"/>
      <c r="W133" s="725"/>
      <c r="X133" s="725"/>
      <c r="Y133" s="725"/>
      <c r="Z133" s="725"/>
      <c r="AA133" s="725"/>
      <c r="AB133" s="725"/>
      <c r="AC133" s="725"/>
      <c r="AD133" s="725"/>
      <c r="AE133" s="725"/>
      <c r="AF133" s="725"/>
      <c r="AG133" s="725"/>
      <c r="AH133" s="725"/>
      <c r="AI133" s="725"/>
      <c r="AJ133" s="725"/>
      <c r="AK133" s="725"/>
      <c r="AL133" s="725"/>
      <c r="AM133" s="725"/>
      <c r="AN133" s="725"/>
      <c r="AO133" s="725"/>
      <c r="AP133" s="725"/>
      <c r="AQ133" s="725"/>
      <c r="AR133" s="726"/>
    </row>
    <row r="134" spans="1:44" ht="4.5" customHeight="1" x14ac:dyDescent="0.3">
      <c r="A134" s="13"/>
      <c r="B134" s="60"/>
      <c r="C134" s="1"/>
      <c r="D134" s="1"/>
      <c r="E134" s="1"/>
      <c r="F134" s="1"/>
      <c r="G134" s="1"/>
      <c r="H134" s="1"/>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row>
    <row r="135" spans="1:44" x14ac:dyDescent="0.3">
      <c r="A135" s="13"/>
      <c r="B135" s="60"/>
      <c r="C135" s="1"/>
      <c r="D135" s="1"/>
      <c r="E135" s="36" t="s">
        <v>700</v>
      </c>
      <c r="G135" s="1"/>
      <c r="H135" s="1"/>
      <c r="I135" s="214"/>
      <c r="J135" s="706"/>
      <c r="K135" s="707"/>
      <c r="L135" s="707"/>
      <c r="M135" s="707"/>
      <c r="N135" s="707"/>
      <c r="O135" s="707"/>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c r="AK135" s="707"/>
      <c r="AL135" s="707"/>
      <c r="AM135" s="707"/>
      <c r="AN135" s="707"/>
      <c r="AO135" s="707"/>
      <c r="AP135" s="707"/>
      <c r="AQ135" s="707"/>
      <c r="AR135" s="708"/>
    </row>
    <row r="136" spans="1:44" s="1" customFormat="1" ht="4.5" customHeight="1" x14ac:dyDescent="0.3">
      <c r="A136" s="13"/>
      <c r="B136" s="104"/>
      <c r="E136" s="36"/>
      <c r="I136" s="214"/>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row>
    <row r="137" spans="1:44" ht="115.5" customHeight="1" x14ac:dyDescent="0.3">
      <c r="A137" s="13"/>
      <c r="B137" s="60"/>
      <c r="C137" s="1"/>
      <c r="D137" s="1"/>
      <c r="E137" s="55" t="str">
        <f>IF(J137&gt;"","REC",IF(calculations!Y81,"","REC"))</f>
        <v/>
      </c>
      <c r="G137" s="38"/>
      <c r="H137" s="1"/>
      <c r="I137" s="214"/>
      <c r="J137" s="706" t="str">
        <f>IF(calculations!Y81,"",CONCATENATE("FORMALIZE IF SIGNIFICANT:  ",Rec!E94))</f>
        <v/>
      </c>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8"/>
    </row>
    <row r="138" spans="1:44" x14ac:dyDescent="0.3">
      <c r="A138" s="13"/>
      <c r="B138" s="60"/>
      <c r="C138" s="1"/>
      <c r="D138" s="1"/>
      <c r="E138" s="11"/>
      <c r="F138" s="37"/>
      <c r="G138" s="38"/>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4.15" x14ac:dyDescent="0.35">
      <c r="A139" s="232" t="s">
        <v>857</v>
      </c>
      <c r="B139" s="60"/>
      <c r="C139" s="1"/>
      <c r="D139" s="58" t="s">
        <v>646</v>
      </c>
      <c r="E139" s="1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59" t="str">
        <f>calculations!AB87</f>
        <v/>
      </c>
      <c r="AL139" s="1"/>
      <c r="AM139" s="1"/>
      <c r="AN139" s="1"/>
      <c r="AO139" s="1"/>
      <c r="AP139" s="1"/>
      <c r="AQ139" s="1"/>
      <c r="AR139" s="1"/>
    </row>
    <row r="140" spans="1:44" ht="15" customHeight="1" x14ac:dyDescent="0.3">
      <c r="A140" s="13"/>
      <c r="B140" s="60"/>
      <c r="C140" s="7"/>
      <c r="D140" s="6"/>
      <c r="E140" s="6"/>
      <c r="F140" s="6"/>
      <c r="G140" s="6"/>
      <c r="H140" s="185" t="s">
        <v>767</v>
      </c>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row>
    <row r="141" spans="1:44" ht="6.75" customHeight="1" x14ac:dyDescent="0.3">
      <c r="A141" s="13"/>
      <c r="B141" s="60"/>
      <c r="I141" s="61" t="s">
        <v>851</v>
      </c>
      <c r="J141" s="6"/>
      <c r="K141" s="6"/>
      <c r="L141" s="6"/>
      <c r="M141" s="6"/>
      <c r="N141" s="6"/>
      <c r="O141" s="6"/>
      <c r="P141" s="6"/>
      <c r="Q141" s="6"/>
      <c r="R141" s="6"/>
      <c r="S141" s="6"/>
      <c r="T141" s="6"/>
      <c r="U141" s="6"/>
      <c r="V141" s="6"/>
      <c r="W141" s="6"/>
      <c r="X141" s="6"/>
      <c r="Y141" s="50"/>
      <c r="Z141" s="61"/>
      <c r="AA141" s="6"/>
      <c r="AB141" s="6"/>
      <c r="AC141" s="6"/>
      <c r="AD141" s="6"/>
      <c r="AE141" s="6"/>
      <c r="AF141" s="6"/>
      <c r="AG141" s="6"/>
      <c r="AH141" s="6"/>
      <c r="AI141" s="6"/>
      <c r="AJ141" s="6"/>
      <c r="AK141" s="1"/>
      <c r="AL141" s="6"/>
      <c r="AM141" s="6"/>
      <c r="AN141" s="6"/>
      <c r="AO141" s="6"/>
      <c r="AP141" s="6"/>
      <c r="AQ141" s="6"/>
      <c r="AR141" s="6"/>
    </row>
    <row r="142" spans="1:44" x14ac:dyDescent="0.3">
      <c r="A142" s="13" t="s">
        <v>647</v>
      </c>
      <c r="B142" s="60"/>
      <c r="C142" s="1"/>
      <c r="D142" s="1"/>
      <c r="E142" s="1"/>
      <c r="F142" s="1"/>
      <c r="G142" s="1"/>
      <c r="H142" s="1"/>
      <c r="I142" s="902" t="s">
        <v>1213</v>
      </c>
      <c r="J142" s="902"/>
      <c r="K142" s="902"/>
      <c r="L142" s="902"/>
      <c r="M142" s="902"/>
      <c r="N142" s="902"/>
      <c r="O142" s="902"/>
      <c r="P142" s="902"/>
      <c r="Q142" s="902"/>
      <c r="R142" s="902"/>
      <c r="S142" s="902"/>
      <c r="T142" s="902"/>
      <c r="U142" s="902"/>
      <c r="V142" s="902"/>
      <c r="W142" s="902"/>
      <c r="X142" s="902"/>
      <c r="Y142" s="902"/>
      <c r="Z142" s="902"/>
      <c r="AA142" s="902"/>
      <c r="AB142" s="902"/>
      <c r="AC142" s="902"/>
      <c r="AD142" s="902"/>
      <c r="AE142" s="902"/>
      <c r="AF142" s="902"/>
      <c r="AG142" s="902"/>
      <c r="AH142" s="902"/>
      <c r="AI142" s="902"/>
      <c r="AJ142" s="902"/>
      <c r="AK142" s="902"/>
      <c r="AL142" s="902"/>
      <c r="AM142" s="902"/>
      <c r="AN142" s="902"/>
      <c r="AO142" s="902"/>
      <c r="AP142" s="902"/>
      <c r="AQ142" s="902"/>
      <c r="AR142" s="902"/>
    </row>
    <row r="143" spans="1:44" ht="6.75" customHeight="1" x14ac:dyDescent="0.3">
      <c r="A143" s="13"/>
      <c r="B143" s="60"/>
      <c r="C143" s="1"/>
      <c r="D143" s="1"/>
      <c r="E143" s="1"/>
      <c r="F143" s="1"/>
      <c r="G143" s="1"/>
      <c r="H143" s="1"/>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row>
    <row r="144" spans="1:44" x14ac:dyDescent="0.3">
      <c r="A144" s="13" t="s">
        <v>648</v>
      </c>
      <c r="B144" s="60"/>
      <c r="C144" s="1"/>
      <c r="D144" s="1"/>
      <c r="E144" s="1"/>
      <c r="F144" s="1"/>
      <c r="G144" s="1"/>
      <c r="H144" s="1"/>
      <c r="I144" s="902" t="s">
        <v>1214</v>
      </c>
      <c r="J144" s="902"/>
      <c r="K144" s="902"/>
      <c r="L144" s="902"/>
      <c r="M144" s="902"/>
      <c r="N144" s="902"/>
      <c r="O144" s="902"/>
      <c r="P144" s="902"/>
      <c r="Q144" s="902"/>
      <c r="R144" s="902"/>
      <c r="S144" s="902"/>
      <c r="T144" s="902"/>
      <c r="U144" s="902"/>
      <c r="V144" s="902"/>
      <c r="W144" s="902"/>
      <c r="X144" s="902"/>
      <c r="Y144" s="902"/>
      <c r="Z144" s="902"/>
      <c r="AA144" s="902"/>
      <c r="AB144" s="902"/>
      <c r="AC144" s="902"/>
      <c r="AD144" s="902"/>
      <c r="AE144" s="902"/>
      <c r="AF144" s="902"/>
      <c r="AG144" s="902"/>
      <c r="AH144" s="902"/>
      <c r="AI144" s="902"/>
      <c r="AJ144" s="902"/>
      <c r="AK144" s="902"/>
      <c r="AL144" s="902"/>
      <c r="AM144" s="902"/>
      <c r="AN144" s="902"/>
      <c r="AO144" s="902"/>
      <c r="AP144" s="902"/>
      <c r="AQ144" s="902"/>
      <c r="AR144" s="902"/>
    </row>
    <row r="145" spans="1:44" ht="6.75" customHeight="1" x14ac:dyDescent="0.3">
      <c r="A145" s="13"/>
      <c r="B145" s="60"/>
      <c r="C145" s="1"/>
      <c r="D145" s="1"/>
      <c r="E145" s="1"/>
      <c r="F145" s="1"/>
      <c r="G145" s="1"/>
      <c r="H145" s="1"/>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row>
    <row r="146" spans="1:44" ht="27" customHeight="1" x14ac:dyDescent="0.3">
      <c r="A146" s="13" t="s">
        <v>649</v>
      </c>
      <c r="B146" s="60"/>
      <c r="C146" s="1"/>
      <c r="D146" s="1"/>
      <c r="E146" s="1"/>
      <c r="F146" s="1"/>
      <c r="G146" s="1"/>
      <c r="H146" s="1"/>
      <c r="I146" s="902" t="s">
        <v>1215</v>
      </c>
      <c r="J146" s="902"/>
      <c r="K146" s="902"/>
      <c r="L146" s="902"/>
      <c r="M146" s="902"/>
      <c r="N146" s="902"/>
      <c r="O146" s="902"/>
      <c r="P146" s="902"/>
      <c r="Q146" s="902"/>
      <c r="R146" s="902"/>
      <c r="S146" s="902"/>
      <c r="T146" s="902"/>
      <c r="U146" s="902"/>
      <c r="V146" s="902"/>
      <c r="W146" s="902"/>
      <c r="X146" s="902"/>
      <c r="Y146" s="902"/>
      <c r="Z146" s="902"/>
      <c r="AA146" s="902"/>
      <c r="AB146" s="902"/>
      <c r="AC146" s="902"/>
      <c r="AD146" s="902"/>
      <c r="AE146" s="902"/>
      <c r="AF146" s="902"/>
      <c r="AG146" s="902"/>
      <c r="AH146" s="902"/>
      <c r="AI146" s="902"/>
      <c r="AJ146" s="902"/>
      <c r="AK146" s="902"/>
      <c r="AL146" s="902"/>
      <c r="AM146" s="902"/>
      <c r="AN146" s="902"/>
      <c r="AO146" s="902"/>
      <c r="AP146" s="902"/>
      <c r="AQ146" s="902"/>
      <c r="AR146" s="902"/>
    </row>
    <row r="147" spans="1:44" ht="4.5" customHeight="1" x14ac:dyDescent="0.3">
      <c r="A147" s="13"/>
      <c r="B147" s="60"/>
      <c r="C147" s="1"/>
      <c r="D147" s="6"/>
      <c r="E147" s="6"/>
      <c r="F147" s="6"/>
      <c r="G147" s="6"/>
      <c r="H147" s="6"/>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row>
    <row r="148" spans="1:44" x14ac:dyDescent="0.3">
      <c r="A148" s="13"/>
      <c r="B148" s="60"/>
      <c r="C148" s="1"/>
      <c r="D148" s="1"/>
      <c r="E148" s="36" t="s">
        <v>700</v>
      </c>
      <c r="G148" s="1"/>
      <c r="H148" s="1"/>
      <c r="I148" s="214"/>
      <c r="J148" s="706"/>
      <c r="K148" s="707"/>
      <c r="L148" s="707"/>
      <c r="M148" s="707"/>
      <c r="N148" s="707"/>
      <c r="O148" s="707"/>
      <c r="P148" s="707"/>
      <c r="Q148" s="707"/>
      <c r="R148" s="707"/>
      <c r="S148" s="707"/>
      <c r="T148" s="707"/>
      <c r="U148" s="707"/>
      <c r="V148" s="707"/>
      <c r="W148" s="707"/>
      <c r="X148" s="707"/>
      <c r="Y148" s="707"/>
      <c r="Z148" s="707"/>
      <c r="AA148" s="707"/>
      <c r="AB148" s="707"/>
      <c r="AC148" s="707"/>
      <c r="AD148" s="707"/>
      <c r="AE148" s="707"/>
      <c r="AF148" s="707"/>
      <c r="AG148" s="707"/>
      <c r="AH148" s="707"/>
      <c r="AI148" s="707"/>
      <c r="AJ148" s="707"/>
      <c r="AK148" s="707"/>
      <c r="AL148" s="707"/>
      <c r="AM148" s="707"/>
      <c r="AN148" s="707"/>
      <c r="AO148" s="707"/>
      <c r="AP148" s="707"/>
      <c r="AQ148" s="707"/>
      <c r="AR148" s="708"/>
    </row>
    <row r="149" spans="1:44" s="1" customFormat="1" ht="4.5" customHeight="1" x14ac:dyDescent="0.3">
      <c r="A149" s="13"/>
      <c r="B149" s="104"/>
      <c r="E149" s="36"/>
      <c r="I149" s="214"/>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row>
    <row r="150" spans="1:44" ht="51.75" customHeight="1" x14ac:dyDescent="0.3">
      <c r="A150" s="13"/>
      <c r="B150" s="60"/>
      <c r="C150" s="1"/>
      <c r="D150" s="1"/>
      <c r="E150" s="55" t="str">
        <f>IF(J150&gt;"","REC",IF(calculations!Y89,"","REC"))</f>
        <v/>
      </c>
      <c r="G150" s="38"/>
      <c r="H150" s="1"/>
      <c r="I150" s="214"/>
      <c r="J150" s="706" t="str">
        <f>IF(calculations!Y89,"",CONCATENATE("FORMALIZE IF SIGNIFICANT:  ",Rec!E97))</f>
        <v/>
      </c>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8"/>
    </row>
    <row r="151" spans="1:44" x14ac:dyDescent="0.3">
      <c r="A151" s="13"/>
      <c r="B151" s="60"/>
      <c r="C151" s="1"/>
      <c r="D151" s="1"/>
      <c r="E151" s="11"/>
      <c r="F151" s="37"/>
      <c r="G151" s="38"/>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4.15" x14ac:dyDescent="0.35">
      <c r="A152" s="232" t="s">
        <v>858</v>
      </c>
      <c r="B152" s="60"/>
      <c r="C152" s="1"/>
      <c r="D152" s="58" t="s">
        <v>650</v>
      </c>
      <c r="E152" s="1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59" t="str">
        <f>calculations!AB93</f>
        <v/>
      </c>
      <c r="AL152" s="1"/>
      <c r="AM152" s="1"/>
      <c r="AN152" s="1"/>
      <c r="AO152" s="1"/>
      <c r="AP152" s="1"/>
      <c r="AQ152" s="1"/>
      <c r="AR152" s="1"/>
    </row>
    <row r="153" spans="1:44" ht="15" customHeight="1" x14ac:dyDescent="0.3">
      <c r="A153" s="13"/>
      <c r="B153" s="60"/>
      <c r="C153" s="7"/>
      <c r="D153" s="6"/>
      <c r="E153" s="6"/>
      <c r="F153" s="6"/>
      <c r="G153" s="6"/>
      <c r="H153" s="185" t="s">
        <v>767</v>
      </c>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89" t="str">
        <f>IF(calculations!AC95&gt;0,"COMPLETE DETAILS FOR GRADE","")</f>
        <v/>
      </c>
    </row>
    <row r="154" spans="1:44" ht="6.75" customHeight="1" x14ac:dyDescent="0.3">
      <c r="A154" s="13"/>
      <c r="B154" s="60"/>
      <c r="C154" s="1"/>
      <c r="D154" s="1"/>
      <c r="E154" s="1"/>
      <c r="F154" s="1"/>
      <c r="G154" s="1"/>
      <c r="H154" s="1"/>
      <c r="I154" s="61" t="s">
        <v>851</v>
      </c>
      <c r="J154" s="6"/>
      <c r="K154" s="6"/>
      <c r="L154" s="6"/>
      <c r="M154" s="6"/>
      <c r="N154" s="6"/>
      <c r="O154" s="6"/>
      <c r="P154" s="6"/>
      <c r="Q154" s="6"/>
      <c r="R154" s="6"/>
      <c r="S154" s="6"/>
      <c r="T154" s="6"/>
      <c r="U154" s="6"/>
      <c r="V154" s="6"/>
      <c r="W154" s="6"/>
      <c r="X154" s="6"/>
      <c r="Y154" s="1"/>
      <c r="Z154" s="61"/>
      <c r="AA154" s="6"/>
      <c r="AB154" s="6"/>
      <c r="AC154" s="6"/>
      <c r="AD154" s="6"/>
      <c r="AE154" s="6"/>
      <c r="AF154" s="6"/>
      <c r="AG154" s="6"/>
      <c r="AH154" s="6"/>
      <c r="AI154" s="6"/>
      <c r="AJ154" s="6"/>
      <c r="AK154" s="1"/>
      <c r="AL154" s="6"/>
      <c r="AM154" s="6"/>
      <c r="AN154" s="6"/>
      <c r="AO154" s="6"/>
      <c r="AP154" s="6"/>
      <c r="AQ154" s="6"/>
      <c r="AR154" s="6"/>
    </row>
    <row r="155" spans="1:44" ht="27" customHeight="1" x14ac:dyDescent="0.3">
      <c r="A155" s="13" t="s">
        <v>651</v>
      </c>
      <c r="B155" s="60"/>
      <c r="C155" s="1"/>
      <c r="D155" s="1"/>
      <c r="E155" s="1"/>
      <c r="F155" s="1"/>
      <c r="G155" s="1"/>
      <c r="H155" s="1"/>
      <c r="I155" s="902" t="s">
        <v>1906</v>
      </c>
      <c r="J155" s="902"/>
      <c r="K155" s="902"/>
      <c r="L155" s="902"/>
      <c r="M155" s="902"/>
      <c r="N155" s="902"/>
      <c r="O155" s="902"/>
      <c r="P155" s="902"/>
      <c r="Q155" s="902"/>
      <c r="R155" s="902"/>
      <c r="S155" s="902"/>
      <c r="T155" s="902"/>
      <c r="U155" s="902"/>
      <c r="V155" s="902"/>
      <c r="W155" s="902"/>
      <c r="X155" s="902"/>
      <c r="Y155" s="902"/>
      <c r="Z155" s="902"/>
      <c r="AA155" s="902"/>
      <c r="AB155" s="902"/>
      <c r="AC155" s="902"/>
      <c r="AD155" s="902"/>
      <c r="AE155" s="902"/>
      <c r="AF155" s="902"/>
      <c r="AG155" s="902"/>
      <c r="AH155" s="902"/>
      <c r="AI155" s="902"/>
      <c r="AJ155" s="902"/>
      <c r="AK155" s="902"/>
      <c r="AL155" s="902"/>
      <c r="AM155" s="902"/>
      <c r="AN155" s="902"/>
      <c r="AO155" s="902"/>
      <c r="AP155" s="902"/>
      <c r="AQ155" s="902"/>
      <c r="AR155" s="902"/>
    </row>
    <row r="156" spans="1:44" ht="4.5" customHeight="1" x14ac:dyDescent="0.3">
      <c r="A156" s="13"/>
      <c r="B156" s="60"/>
      <c r="C156" s="1"/>
      <c r="D156" s="1"/>
      <c r="E156" s="11"/>
      <c r="F156" s="37"/>
      <c r="G156" s="38"/>
      <c r="H156" s="1"/>
      <c r="I156" s="236"/>
      <c r="J156" s="236"/>
      <c r="K156" s="236"/>
      <c r="L156" s="236"/>
      <c r="M156" s="236"/>
      <c r="N156" s="236"/>
      <c r="O156" s="236"/>
      <c r="P156" s="236"/>
      <c r="Q156" s="236"/>
      <c r="R156" s="236"/>
      <c r="S156" s="236"/>
      <c r="T156" s="236"/>
      <c r="U156" s="236"/>
      <c r="V156" s="236"/>
      <c r="W156" s="236"/>
      <c r="X156" s="236"/>
      <c r="Y156" s="236"/>
      <c r="Z156" s="236"/>
      <c r="AA156" s="236"/>
      <c r="AB156" s="236"/>
      <c r="AC156" s="236"/>
      <c r="AD156" s="236"/>
      <c r="AE156" s="236"/>
      <c r="AF156" s="236"/>
      <c r="AG156" s="236"/>
      <c r="AH156" s="236"/>
      <c r="AI156" s="236"/>
      <c r="AJ156" s="236"/>
      <c r="AK156" s="236"/>
      <c r="AL156" s="236"/>
      <c r="AM156" s="236"/>
      <c r="AN156" s="236"/>
      <c r="AO156" s="236"/>
      <c r="AP156" s="236"/>
      <c r="AQ156" s="236"/>
      <c r="AR156" s="236"/>
    </row>
    <row r="157" spans="1:44" ht="26.25" customHeight="1" x14ac:dyDescent="0.3">
      <c r="A157" s="13"/>
      <c r="B157" s="60"/>
      <c r="C157" s="1"/>
      <c r="D157" s="1"/>
      <c r="E157" s="11"/>
      <c r="F157" s="37"/>
      <c r="G157" s="49"/>
      <c r="H157" s="62" t="str">
        <f>IF(calculations!AD94=1,"details","")</f>
        <v/>
      </c>
      <c r="I157" s="724" t="str">
        <f>IF(calculations!AD94=1,"Explain the positions using contracted staff, approximate number of such staff; if 1099s and COIs are not used, explain why and for which staff.","")</f>
        <v/>
      </c>
      <c r="J157" s="725"/>
      <c r="K157" s="725"/>
      <c r="L157" s="725"/>
      <c r="M157" s="725"/>
      <c r="N157" s="725"/>
      <c r="O157" s="725"/>
      <c r="P157" s="725"/>
      <c r="Q157" s="725"/>
      <c r="R157" s="725"/>
      <c r="S157" s="725"/>
      <c r="T157" s="725"/>
      <c r="U157" s="725"/>
      <c r="V157" s="725"/>
      <c r="W157" s="725"/>
      <c r="X157" s="725"/>
      <c r="Y157" s="725"/>
      <c r="Z157" s="725"/>
      <c r="AA157" s="725"/>
      <c r="AB157" s="725"/>
      <c r="AC157" s="725"/>
      <c r="AD157" s="725"/>
      <c r="AE157" s="725"/>
      <c r="AF157" s="725"/>
      <c r="AG157" s="725"/>
      <c r="AH157" s="725"/>
      <c r="AI157" s="725"/>
      <c r="AJ157" s="725"/>
      <c r="AK157" s="725"/>
      <c r="AL157" s="725"/>
      <c r="AM157" s="725"/>
      <c r="AN157" s="725"/>
      <c r="AO157" s="725"/>
      <c r="AP157" s="725"/>
      <c r="AQ157" s="725"/>
      <c r="AR157" s="726"/>
    </row>
    <row r="158" spans="1:44" ht="4.5" customHeight="1" x14ac:dyDescent="0.3">
      <c r="A158" s="13"/>
      <c r="B158" s="60"/>
      <c r="C158" s="1"/>
      <c r="D158" s="1"/>
      <c r="E158" s="1"/>
      <c r="F158" s="1"/>
      <c r="G158" s="1"/>
      <c r="H158" s="1"/>
      <c r="I158" s="236"/>
      <c r="J158" s="236"/>
      <c r="K158" s="236"/>
      <c r="L158" s="236"/>
      <c r="M158" s="236"/>
      <c r="N158" s="236"/>
      <c r="O158" s="236"/>
      <c r="P158" s="236"/>
      <c r="Q158" s="236"/>
      <c r="R158" s="236"/>
      <c r="S158" s="236"/>
      <c r="T158" s="236"/>
      <c r="U158" s="236"/>
      <c r="V158" s="236"/>
      <c r="W158" s="236"/>
      <c r="X158" s="236"/>
      <c r="Y158" s="236"/>
      <c r="Z158" s="236"/>
      <c r="AA158" s="236"/>
      <c r="AB158" s="236"/>
      <c r="AC158" s="236"/>
      <c r="AD158" s="236"/>
      <c r="AE158" s="236"/>
      <c r="AF158" s="236"/>
      <c r="AG158" s="236"/>
      <c r="AH158" s="236"/>
      <c r="AI158" s="236"/>
      <c r="AJ158" s="236"/>
      <c r="AK158" s="236"/>
      <c r="AL158" s="236"/>
      <c r="AM158" s="236"/>
      <c r="AN158" s="236"/>
      <c r="AO158" s="236"/>
      <c r="AP158" s="236"/>
      <c r="AQ158" s="236"/>
      <c r="AR158" s="236"/>
    </row>
    <row r="159" spans="1:44" ht="39" customHeight="1" x14ac:dyDescent="0.3">
      <c r="A159" s="13" t="s">
        <v>652</v>
      </c>
      <c r="B159" s="60"/>
      <c r="C159" s="1"/>
      <c r="D159" s="1"/>
      <c r="E159" s="1"/>
      <c r="F159" s="1"/>
      <c r="G159" s="1"/>
      <c r="H159" s="1"/>
      <c r="I159" s="902" t="str">
        <f>IF(calculations!B3=1,forms!A258,forms!A257)</f>
        <v>Contractors performing work or duties on YMCA premises are given 1099 forms and provide certificates of insurance; (these may include custodial, grounds maintenance, HVAC, pool chemical, vending machine operators, construction or alteration operations, etc.); if none mark NA.</v>
      </c>
      <c r="J159" s="902"/>
      <c r="K159" s="902"/>
      <c r="L159" s="902"/>
      <c r="M159" s="902"/>
      <c r="N159" s="902"/>
      <c r="O159" s="902"/>
      <c r="P159" s="902"/>
      <c r="Q159" s="902"/>
      <c r="R159" s="902"/>
      <c r="S159" s="902"/>
      <c r="T159" s="902"/>
      <c r="U159" s="902"/>
      <c r="V159" s="902"/>
      <c r="W159" s="902"/>
      <c r="X159" s="902"/>
      <c r="Y159" s="902"/>
      <c r="Z159" s="902"/>
      <c r="AA159" s="902"/>
      <c r="AB159" s="902"/>
      <c r="AC159" s="902"/>
      <c r="AD159" s="902"/>
      <c r="AE159" s="902"/>
      <c r="AF159" s="902"/>
      <c r="AG159" s="902"/>
      <c r="AH159" s="902"/>
      <c r="AI159" s="902"/>
      <c r="AJ159" s="902"/>
      <c r="AK159" s="902"/>
      <c r="AL159" s="902"/>
      <c r="AM159" s="902"/>
      <c r="AN159" s="902"/>
      <c r="AO159" s="902"/>
      <c r="AP159" s="902"/>
      <c r="AQ159" s="902"/>
      <c r="AR159" s="902"/>
    </row>
    <row r="160" spans="1:44" ht="4.5" customHeight="1" x14ac:dyDescent="0.3">
      <c r="A160" s="13"/>
      <c r="B160" s="60"/>
      <c r="C160" s="1"/>
      <c r="D160" s="1"/>
      <c r="E160" s="11"/>
      <c r="F160" s="37"/>
      <c r="G160" s="38"/>
      <c r="H160" s="1"/>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row>
    <row r="161" spans="1:44" ht="26.25" customHeight="1" x14ac:dyDescent="0.3">
      <c r="A161" s="13"/>
      <c r="B161" s="60"/>
      <c r="C161" s="1"/>
      <c r="D161" s="1"/>
      <c r="E161" s="11"/>
      <c r="F161" s="37"/>
      <c r="G161" s="38"/>
      <c r="H161" s="62" t="str">
        <f>IF(calculations!AD95=1,"details","")</f>
        <v/>
      </c>
      <c r="I161" s="724" t="str">
        <f>IF(calculations!AD95=1,"Explain the type and frequency of work contracted to others; if 1099s or COIs are not used, explain for which and why.","")</f>
        <v/>
      </c>
      <c r="J161" s="725"/>
      <c r="K161" s="725"/>
      <c r="L161" s="725"/>
      <c r="M161" s="725"/>
      <c r="N161" s="725"/>
      <c r="O161" s="725"/>
      <c r="P161" s="725"/>
      <c r="Q161" s="725"/>
      <c r="R161" s="725"/>
      <c r="S161" s="725"/>
      <c r="T161" s="725"/>
      <c r="U161" s="725"/>
      <c r="V161" s="725"/>
      <c r="W161" s="725"/>
      <c r="X161" s="725"/>
      <c r="Y161" s="725"/>
      <c r="Z161" s="725"/>
      <c r="AA161" s="725"/>
      <c r="AB161" s="725"/>
      <c r="AC161" s="725"/>
      <c r="AD161" s="725"/>
      <c r="AE161" s="725"/>
      <c r="AF161" s="725"/>
      <c r="AG161" s="725"/>
      <c r="AH161" s="725"/>
      <c r="AI161" s="725"/>
      <c r="AJ161" s="725"/>
      <c r="AK161" s="725"/>
      <c r="AL161" s="725"/>
      <c r="AM161" s="725"/>
      <c r="AN161" s="725"/>
      <c r="AO161" s="725"/>
      <c r="AP161" s="725"/>
      <c r="AQ161" s="725"/>
      <c r="AR161" s="726"/>
    </row>
    <row r="162" spans="1:44" ht="4.5" customHeight="1" x14ac:dyDescent="0.3">
      <c r="A162" s="13"/>
      <c r="B162" s="60"/>
      <c r="C162" s="1"/>
      <c r="D162" s="1"/>
      <c r="E162" s="1"/>
      <c r="F162" s="1"/>
      <c r="G162" s="1"/>
      <c r="H162" s="1"/>
      <c r="I162" s="236"/>
      <c r="J162" s="236"/>
      <c r="K162" s="236"/>
      <c r="L162" s="236"/>
      <c r="M162" s="236"/>
      <c r="N162" s="236"/>
      <c r="O162" s="236"/>
      <c r="P162" s="236"/>
      <c r="Q162" s="236"/>
      <c r="R162" s="236"/>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row>
    <row r="163" spans="1:44" ht="25.5" customHeight="1" x14ac:dyDescent="0.3">
      <c r="A163" s="13" t="s">
        <v>653</v>
      </c>
      <c r="B163" s="60"/>
      <c r="C163" s="1"/>
      <c r="D163" s="1"/>
      <c r="E163" s="1"/>
      <c r="F163" s="1"/>
      <c r="G163" s="1"/>
      <c r="H163" s="1"/>
      <c r="I163" s="902" t="s">
        <v>1227</v>
      </c>
      <c r="J163" s="902"/>
      <c r="K163" s="902"/>
      <c r="L163" s="902"/>
      <c r="M163" s="902"/>
      <c r="N163" s="902"/>
      <c r="O163" s="902"/>
      <c r="P163" s="902"/>
      <c r="Q163" s="902"/>
      <c r="R163" s="902"/>
      <c r="S163" s="902"/>
      <c r="T163" s="902"/>
      <c r="U163" s="902"/>
      <c r="V163" s="902"/>
      <c r="W163" s="902"/>
      <c r="X163" s="902"/>
      <c r="Y163" s="902"/>
      <c r="Z163" s="902"/>
      <c r="AA163" s="902"/>
      <c r="AB163" s="902"/>
      <c r="AC163" s="902"/>
      <c r="AD163" s="902"/>
      <c r="AE163" s="902"/>
      <c r="AF163" s="902"/>
      <c r="AG163" s="902"/>
      <c r="AH163" s="902"/>
      <c r="AI163" s="902"/>
      <c r="AJ163" s="902"/>
      <c r="AK163" s="902"/>
      <c r="AL163" s="902"/>
      <c r="AM163" s="902"/>
      <c r="AN163" s="902"/>
      <c r="AO163" s="902"/>
      <c r="AP163" s="902"/>
      <c r="AQ163" s="902"/>
      <c r="AR163" s="902"/>
    </row>
    <row r="164" spans="1:44" ht="4.5" customHeight="1" x14ac:dyDescent="0.3">
      <c r="A164" s="13"/>
      <c r="B164" s="60"/>
      <c r="C164" s="1"/>
      <c r="D164" s="1"/>
      <c r="E164" s="11"/>
      <c r="F164" s="37"/>
      <c r="G164" s="38"/>
      <c r="H164" s="1"/>
      <c r="I164" s="236"/>
      <c r="J164" s="236"/>
      <c r="K164" s="236"/>
      <c r="L164" s="236"/>
      <c r="M164" s="236"/>
      <c r="N164" s="236"/>
      <c r="O164" s="236"/>
      <c r="P164" s="236"/>
      <c r="Q164" s="236"/>
      <c r="R164" s="236"/>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row>
    <row r="165" spans="1:44" x14ac:dyDescent="0.3">
      <c r="A165" s="13"/>
      <c r="B165" s="60"/>
      <c r="C165" s="1"/>
      <c r="D165" s="1"/>
      <c r="E165" s="11"/>
      <c r="F165" s="37"/>
      <c r="G165" s="38"/>
      <c r="H165" s="62" t="str">
        <f>IF(calculations!U96=TRUE,"details","")</f>
        <v/>
      </c>
      <c r="I165" s="724" t="str">
        <f>IF(calculations!U96,"Describe the volunteers and types of remuneration provided.","")</f>
        <v/>
      </c>
      <c r="J165" s="725"/>
      <c r="K165" s="725"/>
      <c r="L165" s="725"/>
      <c r="M165" s="725"/>
      <c r="N165" s="725"/>
      <c r="O165" s="725"/>
      <c r="P165" s="725"/>
      <c r="Q165" s="725"/>
      <c r="R165" s="725"/>
      <c r="S165" s="725"/>
      <c r="T165" s="725"/>
      <c r="U165" s="725"/>
      <c r="V165" s="725"/>
      <c r="W165" s="725"/>
      <c r="X165" s="725"/>
      <c r="Y165" s="725"/>
      <c r="Z165" s="725"/>
      <c r="AA165" s="725"/>
      <c r="AB165" s="725"/>
      <c r="AC165" s="725"/>
      <c r="AD165" s="725"/>
      <c r="AE165" s="725"/>
      <c r="AF165" s="725"/>
      <c r="AG165" s="725"/>
      <c r="AH165" s="725"/>
      <c r="AI165" s="725"/>
      <c r="AJ165" s="725"/>
      <c r="AK165" s="725"/>
      <c r="AL165" s="725"/>
      <c r="AM165" s="725"/>
      <c r="AN165" s="725"/>
      <c r="AO165" s="725"/>
      <c r="AP165" s="725"/>
      <c r="AQ165" s="725"/>
      <c r="AR165" s="726"/>
    </row>
    <row r="166" spans="1:44" ht="4.5" customHeight="1" x14ac:dyDescent="0.3">
      <c r="A166" s="13"/>
      <c r="B166" s="60"/>
      <c r="C166" s="1"/>
      <c r="D166" s="1"/>
      <c r="E166" s="1"/>
      <c r="F166" s="1"/>
      <c r="G166" s="1"/>
      <c r="H166" s="1"/>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row>
    <row r="167" spans="1:44" ht="15.75" customHeight="1" x14ac:dyDescent="0.3">
      <c r="A167" s="13" t="s">
        <v>654</v>
      </c>
      <c r="B167" s="60"/>
      <c r="C167" s="1"/>
      <c r="D167" s="1"/>
      <c r="E167" s="1"/>
      <c r="F167" s="1"/>
      <c r="G167" s="1"/>
      <c r="H167" s="1"/>
      <c r="I167" s="902" t="str">
        <f>IF(calculations!B3=1,"The JCC purchases a separate accident and health insurance policy to cover their volunteers.","The YMCA purchases a separate accident and health insurance policy to cover their volunteers.")</f>
        <v>The YMCA purchases a separate accident and health insurance policy to cover their volunteers.</v>
      </c>
      <c r="J167" s="902"/>
      <c r="K167" s="902"/>
      <c r="L167" s="902"/>
      <c r="M167" s="902"/>
      <c r="N167" s="902"/>
      <c r="O167" s="902"/>
      <c r="P167" s="902"/>
      <c r="Q167" s="902"/>
      <c r="R167" s="902"/>
      <c r="S167" s="902"/>
      <c r="T167" s="902"/>
      <c r="U167" s="902"/>
      <c r="V167" s="902"/>
      <c r="W167" s="902"/>
      <c r="X167" s="902"/>
      <c r="Y167" s="902"/>
      <c r="Z167" s="902"/>
      <c r="AA167" s="902"/>
      <c r="AB167" s="902"/>
      <c r="AC167" s="902"/>
      <c r="AD167" s="902"/>
      <c r="AE167" s="902"/>
      <c r="AF167" s="902"/>
      <c r="AG167" s="902"/>
      <c r="AH167" s="902"/>
      <c r="AI167" s="902"/>
      <c r="AJ167" s="902"/>
      <c r="AK167" s="902"/>
      <c r="AL167" s="902"/>
      <c r="AM167" s="902"/>
      <c r="AN167" s="902"/>
      <c r="AO167" s="902"/>
      <c r="AP167" s="902"/>
      <c r="AQ167" s="902"/>
      <c r="AR167" s="902"/>
    </row>
    <row r="168" spans="1:44" ht="4.5" customHeight="1" x14ac:dyDescent="0.3">
      <c r="A168" s="13"/>
      <c r="B168" s="60"/>
      <c r="C168" s="1"/>
      <c r="D168" s="1"/>
      <c r="E168" s="11"/>
      <c r="F168" s="37"/>
      <c r="G168" s="38"/>
      <c r="H168" s="1"/>
      <c r="I168" s="236"/>
      <c r="J168" s="236"/>
      <c r="K168" s="236"/>
      <c r="L168" s="236"/>
      <c r="M168" s="236"/>
      <c r="N168" s="236"/>
      <c r="O168" s="236"/>
      <c r="P168" s="236"/>
      <c r="Q168" s="236"/>
      <c r="R168" s="236"/>
      <c r="S168" s="236"/>
      <c r="T168" s="236"/>
      <c r="U168" s="236"/>
      <c r="V168" s="236"/>
      <c r="W168" s="236"/>
      <c r="X168" s="236"/>
      <c r="Y168" s="236"/>
      <c r="Z168" s="236"/>
      <c r="AA168" s="236"/>
      <c r="AB168" s="236"/>
      <c r="AC168" s="236"/>
      <c r="AD168" s="236"/>
      <c r="AE168" s="236"/>
      <c r="AF168" s="236"/>
      <c r="AG168" s="236"/>
      <c r="AH168" s="236"/>
      <c r="AI168" s="236"/>
      <c r="AJ168" s="236"/>
      <c r="AK168" s="236"/>
      <c r="AL168" s="236"/>
      <c r="AM168" s="236"/>
      <c r="AN168" s="236"/>
      <c r="AO168" s="236"/>
      <c r="AP168" s="236"/>
      <c r="AQ168" s="236"/>
      <c r="AR168" s="236"/>
    </row>
    <row r="169" spans="1:44" x14ac:dyDescent="0.3">
      <c r="A169" s="13"/>
      <c r="B169" s="60"/>
      <c r="C169" s="1"/>
      <c r="D169" s="1"/>
      <c r="E169" s="11"/>
      <c r="F169" s="37"/>
      <c r="G169" s="38"/>
      <c r="H169" s="62" t="str">
        <f>IF(calculations!T97,"details","")</f>
        <v/>
      </c>
      <c r="I169" s="724" t="str">
        <f>IF(calculations!T97,"Describe policy and the volunteers to which it applies.","")</f>
        <v/>
      </c>
      <c r="J169" s="725"/>
      <c r="K169" s="725"/>
      <c r="L169" s="725"/>
      <c r="M169" s="725"/>
      <c r="N169" s="725"/>
      <c r="O169" s="725"/>
      <c r="P169" s="725"/>
      <c r="Q169" s="725"/>
      <c r="R169" s="725"/>
      <c r="S169" s="725"/>
      <c r="T169" s="725"/>
      <c r="U169" s="725"/>
      <c r="V169" s="725"/>
      <c r="W169" s="725"/>
      <c r="X169" s="725"/>
      <c r="Y169" s="725"/>
      <c r="Z169" s="725"/>
      <c r="AA169" s="725"/>
      <c r="AB169" s="725"/>
      <c r="AC169" s="725"/>
      <c r="AD169" s="725"/>
      <c r="AE169" s="725"/>
      <c r="AF169" s="725"/>
      <c r="AG169" s="725"/>
      <c r="AH169" s="725"/>
      <c r="AI169" s="725"/>
      <c r="AJ169" s="725"/>
      <c r="AK169" s="725"/>
      <c r="AL169" s="725"/>
      <c r="AM169" s="725"/>
      <c r="AN169" s="725"/>
      <c r="AO169" s="725"/>
      <c r="AP169" s="725"/>
      <c r="AQ169" s="725"/>
      <c r="AR169" s="726"/>
    </row>
    <row r="170" spans="1:44" ht="4.5" customHeight="1" x14ac:dyDescent="0.3">
      <c r="A170" s="13"/>
      <c r="B170" s="60"/>
      <c r="C170" s="1"/>
      <c r="D170" s="1"/>
      <c r="E170" s="11"/>
      <c r="F170" s="37"/>
      <c r="G170" s="38"/>
      <c r="H170" s="1"/>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row>
    <row r="171" spans="1:44" x14ac:dyDescent="0.3">
      <c r="A171" s="13"/>
      <c r="B171" s="60"/>
      <c r="C171" s="1"/>
      <c r="D171" s="905" t="s">
        <v>808</v>
      </c>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c r="AB171" s="906"/>
      <c r="AC171" s="906"/>
      <c r="AD171" s="906"/>
      <c r="AE171" s="906"/>
      <c r="AF171" s="906"/>
      <c r="AG171" s="906"/>
      <c r="AH171" s="906"/>
      <c r="AI171" s="906"/>
      <c r="AJ171" s="906"/>
      <c r="AK171" s="906"/>
      <c r="AL171" s="906"/>
      <c r="AM171" s="906"/>
      <c r="AN171" s="906"/>
      <c r="AO171" s="906"/>
      <c r="AP171" s="906"/>
      <c r="AQ171" s="906"/>
      <c r="AR171" s="906"/>
    </row>
    <row r="172" spans="1:44" ht="6.75" customHeight="1" x14ac:dyDescent="0.3">
      <c r="A172" s="13"/>
      <c r="B172" s="60"/>
      <c r="C172" s="1"/>
      <c r="D172" s="60"/>
      <c r="E172" s="1"/>
      <c r="F172" s="1"/>
      <c r="G172" s="1"/>
      <c r="H172" s="1"/>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row>
    <row r="173" spans="1:44" x14ac:dyDescent="0.3">
      <c r="A173" s="13" t="s">
        <v>655</v>
      </c>
      <c r="B173" s="60"/>
      <c r="C173" s="1"/>
      <c r="D173" s="60"/>
      <c r="E173" s="25"/>
      <c r="F173" s="25"/>
      <c r="G173" s="25" t="s">
        <v>656</v>
      </c>
      <c r="H173" s="25"/>
      <c r="I173" s="7"/>
      <c r="J173" s="7"/>
      <c r="K173" s="7"/>
      <c r="L173" s="7"/>
      <c r="M173" s="7"/>
      <c r="N173" s="7"/>
      <c r="O173" s="7"/>
      <c r="P173" s="7"/>
      <c r="Q173" s="1"/>
      <c r="R173" s="1"/>
      <c r="S173" s="7" t="s">
        <v>657</v>
      </c>
      <c r="T173" s="7"/>
      <c r="U173" s="7"/>
      <c r="V173" s="7"/>
      <c r="W173" s="7"/>
      <c r="X173" s="7"/>
      <c r="Y173" s="7"/>
      <c r="Z173" s="7"/>
      <c r="AA173" s="7"/>
      <c r="AB173" s="7"/>
      <c r="AC173" s="7"/>
      <c r="AD173" s="7"/>
      <c r="AE173" s="7"/>
      <c r="AF173" s="7"/>
      <c r="AG173" s="7"/>
      <c r="AH173" s="7"/>
      <c r="AI173" s="7" t="s">
        <v>658</v>
      </c>
      <c r="AJ173" s="7"/>
      <c r="AK173" s="1"/>
      <c r="AL173" s="7"/>
      <c r="AM173" s="7"/>
      <c r="AN173" s="7"/>
      <c r="AO173" s="7"/>
      <c r="AP173" s="7"/>
      <c r="AQ173" s="7"/>
      <c r="AR173" s="7"/>
    </row>
    <row r="174" spans="1:44" ht="6.75" customHeight="1" x14ac:dyDescent="0.3">
      <c r="A174" s="13"/>
      <c r="B174" s="60"/>
      <c r="C174" s="1"/>
      <c r="D174" s="60"/>
      <c r="E174" s="25"/>
      <c r="F174" s="25"/>
      <c r="G174" s="25"/>
      <c r="H174" s="25"/>
      <c r="I174" s="7"/>
      <c r="J174" s="7"/>
      <c r="K174" s="7"/>
      <c r="L174" s="7"/>
      <c r="M174" s="7"/>
      <c r="N174" s="7"/>
      <c r="O174" s="7"/>
      <c r="P174" s="7"/>
      <c r="Q174" s="1"/>
      <c r="R174" s="1"/>
      <c r="S174" s="7"/>
      <c r="T174" s="7"/>
      <c r="U174" s="7"/>
      <c r="V174" s="7"/>
      <c r="W174" s="7"/>
      <c r="X174" s="7"/>
      <c r="Y174" s="7"/>
      <c r="Z174" s="7"/>
      <c r="AA174" s="7"/>
      <c r="AB174" s="7"/>
      <c r="AC174" s="7"/>
      <c r="AD174" s="7"/>
      <c r="AE174" s="7"/>
      <c r="AF174" s="7"/>
      <c r="AG174" s="7"/>
      <c r="AH174" s="7"/>
      <c r="AI174" s="7"/>
      <c r="AJ174" s="7"/>
      <c r="AK174" s="1"/>
      <c r="AL174" s="7"/>
      <c r="AM174" s="7"/>
      <c r="AN174" s="7"/>
      <c r="AO174" s="7"/>
      <c r="AP174" s="7"/>
      <c r="AQ174" s="7"/>
      <c r="AR174" s="7"/>
    </row>
    <row r="175" spans="1:44" x14ac:dyDescent="0.3">
      <c r="A175" s="13" t="s">
        <v>659</v>
      </c>
      <c r="B175" s="60"/>
      <c r="C175" s="1"/>
      <c r="D175" s="60"/>
      <c r="E175" s="25"/>
      <c r="F175" s="25"/>
      <c r="G175" s="25" t="s">
        <v>660</v>
      </c>
      <c r="H175" s="25"/>
      <c r="I175" s="7"/>
      <c r="J175" s="7"/>
      <c r="K175" s="7"/>
      <c r="L175" s="7"/>
      <c r="M175" s="7"/>
      <c r="N175" s="7"/>
      <c r="O175" s="7"/>
      <c r="P175" s="7"/>
      <c r="Q175" s="1"/>
      <c r="R175" s="1"/>
      <c r="S175" s="7" t="s">
        <v>661</v>
      </c>
      <c r="T175" s="7"/>
      <c r="U175" s="7"/>
      <c r="V175" s="7"/>
      <c r="W175" s="7"/>
      <c r="X175" s="7"/>
      <c r="Y175" s="7"/>
      <c r="Z175" s="7"/>
      <c r="AA175" s="7"/>
      <c r="AB175" s="7"/>
      <c r="AC175" s="7"/>
      <c r="AD175" s="7"/>
      <c r="AE175" s="7"/>
      <c r="AF175" s="7"/>
      <c r="AG175" s="7"/>
      <c r="AH175" s="7"/>
      <c r="AI175" s="7" t="s">
        <v>662</v>
      </c>
      <c r="AJ175" s="7"/>
      <c r="AK175" s="1"/>
      <c r="AL175" s="7"/>
      <c r="AM175" s="7"/>
      <c r="AN175" s="7"/>
      <c r="AO175" s="7"/>
      <c r="AP175" s="7"/>
      <c r="AQ175" s="7"/>
      <c r="AR175" s="7"/>
    </row>
    <row r="176" spans="1:44" ht="6.75" customHeight="1" x14ac:dyDescent="0.3">
      <c r="A176" s="13"/>
      <c r="B176" s="60"/>
      <c r="C176" s="1"/>
      <c r="D176" s="60"/>
      <c r="E176" s="25"/>
      <c r="F176" s="25"/>
      <c r="G176" s="25"/>
      <c r="H176" s="25"/>
      <c r="I176" s="7"/>
      <c r="J176" s="7"/>
      <c r="K176" s="7"/>
      <c r="L176" s="7"/>
      <c r="M176" s="7"/>
      <c r="N176" s="7"/>
      <c r="O176" s="7"/>
      <c r="P176" s="7"/>
      <c r="Q176" s="1"/>
      <c r="R176" s="1"/>
      <c r="S176" s="7"/>
      <c r="T176" s="7"/>
      <c r="U176" s="7"/>
      <c r="V176" s="7"/>
      <c r="W176" s="7"/>
      <c r="X176" s="7"/>
      <c r="Y176" s="7"/>
      <c r="Z176" s="7"/>
      <c r="AA176" s="7"/>
      <c r="AB176" s="7"/>
      <c r="AC176" s="7"/>
      <c r="AD176" s="7"/>
      <c r="AE176" s="7"/>
      <c r="AF176" s="7"/>
      <c r="AG176" s="7"/>
      <c r="AH176" s="7"/>
      <c r="AI176" s="7"/>
      <c r="AJ176" s="7"/>
      <c r="AK176" s="1"/>
      <c r="AL176" s="7"/>
      <c r="AM176" s="7"/>
      <c r="AN176" s="7"/>
      <c r="AO176" s="7"/>
      <c r="AP176" s="7"/>
      <c r="AQ176" s="7"/>
      <c r="AR176" s="7"/>
    </row>
    <row r="177" spans="1:44" x14ac:dyDescent="0.3">
      <c r="A177" s="13" t="s">
        <v>663</v>
      </c>
      <c r="B177" s="60"/>
      <c r="C177" s="1"/>
      <c r="D177" s="60"/>
      <c r="E177" s="25"/>
      <c r="F177" s="25"/>
      <c r="G177" s="25" t="s">
        <v>664</v>
      </c>
      <c r="H177" s="25"/>
      <c r="I177" s="7"/>
      <c r="J177" s="7"/>
      <c r="K177" s="7"/>
      <c r="L177" s="7"/>
      <c r="M177" s="7"/>
      <c r="N177" s="7"/>
      <c r="O177" s="7"/>
      <c r="P177" s="7"/>
      <c r="Q177" s="1"/>
      <c r="R177" s="1"/>
      <c r="S177" s="7" t="s">
        <v>665</v>
      </c>
      <c r="T177" s="7"/>
      <c r="U177" s="7"/>
      <c r="V177" s="7"/>
      <c r="W177" s="7"/>
      <c r="X177" s="7"/>
      <c r="Y177" s="7"/>
      <c r="Z177" s="7"/>
      <c r="AA177" s="7"/>
      <c r="AB177" s="7"/>
      <c r="AC177" s="7"/>
      <c r="AD177" s="7"/>
      <c r="AE177" s="7"/>
      <c r="AF177" s="7"/>
      <c r="AG177" s="7"/>
      <c r="AH177" s="7"/>
      <c r="AI177" s="7" t="s">
        <v>666</v>
      </c>
      <c r="AJ177" s="7"/>
      <c r="AK177" s="1"/>
      <c r="AL177" s="7"/>
      <c r="AM177" s="7"/>
      <c r="AN177" s="7"/>
      <c r="AO177" s="7"/>
      <c r="AP177" s="7"/>
      <c r="AQ177" s="7"/>
      <c r="AR177" s="7"/>
    </row>
    <row r="178" spans="1:44" ht="6.75" customHeight="1" x14ac:dyDescent="0.3">
      <c r="A178" s="13"/>
      <c r="B178" s="60"/>
      <c r="C178" s="1"/>
      <c r="D178" s="60"/>
      <c r="E178" s="25"/>
      <c r="F178" s="25"/>
      <c r="G178" s="25"/>
      <c r="H178" s="25"/>
      <c r="I178" s="7"/>
      <c r="J178" s="7"/>
      <c r="K178" s="7"/>
      <c r="L178" s="7"/>
      <c r="M178" s="7"/>
      <c r="N178" s="7"/>
      <c r="O178" s="7"/>
      <c r="P178" s="7"/>
      <c r="Q178" s="1"/>
      <c r="R178" s="1"/>
      <c r="S178" s="7"/>
      <c r="T178" s="7"/>
      <c r="U178" s="7"/>
      <c r="V178" s="7"/>
      <c r="W178" s="7"/>
      <c r="X178" s="7"/>
      <c r="Y178" s="7"/>
      <c r="Z178" s="7"/>
      <c r="AA178" s="7"/>
      <c r="AB178" s="7"/>
      <c r="AC178" s="7"/>
      <c r="AD178" s="7"/>
      <c r="AE178" s="7"/>
      <c r="AF178" s="7"/>
      <c r="AG178" s="7"/>
      <c r="AH178" s="7"/>
      <c r="AI178" s="7"/>
      <c r="AJ178" s="7"/>
      <c r="AK178" s="1"/>
      <c r="AL178" s="7"/>
      <c r="AM178" s="7"/>
      <c r="AN178" s="7"/>
      <c r="AO178" s="7"/>
      <c r="AP178" s="7"/>
      <c r="AQ178" s="7"/>
      <c r="AR178" s="7"/>
    </row>
    <row r="179" spans="1:44" x14ac:dyDescent="0.3">
      <c r="A179" s="13" t="s">
        <v>667</v>
      </c>
      <c r="B179" s="60"/>
      <c r="C179" s="1"/>
      <c r="D179" s="60"/>
      <c r="E179" s="25"/>
      <c r="F179" s="25"/>
      <c r="G179" s="25" t="s">
        <v>668</v>
      </c>
      <c r="H179" s="25"/>
      <c r="I179" s="7"/>
      <c r="J179" s="7"/>
      <c r="K179" s="7"/>
      <c r="L179" s="7"/>
      <c r="M179" s="7"/>
      <c r="N179" s="7"/>
      <c r="O179" s="7"/>
      <c r="P179" s="7"/>
      <c r="Q179" s="1"/>
      <c r="R179" s="1"/>
      <c r="S179" s="7" t="s">
        <v>876</v>
      </c>
      <c r="T179" s="7"/>
      <c r="U179" s="7"/>
      <c r="V179" s="7"/>
      <c r="W179" s="7"/>
      <c r="X179" s="7"/>
      <c r="Y179" s="7"/>
      <c r="Z179" s="7"/>
      <c r="AA179" s="7"/>
      <c r="AB179" s="7"/>
      <c r="AC179" s="7"/>
      <c r="AD179" s="7"/>
      <c r="AE179" s="7"/>
      <c r="AF179" s="7"/>
      <c r="AG179" s="7"/>
      <c r="AH179" s="7"/>
      <c r="AI179" s="7" t="s">
        <v>669</v>
      </c>
      <c r="AJ179" s="7"/>
      <c r="AK179" s="1"/>
      <c r="AL179" s="7"/>
      <c r="AM179" s="7"/>
      <c r="AN179" s="7"/>
      <c r="AO179" s="7"/>
      <c r="AP179" s="7"/>
      <c r="AQ179" s="7"/>
      <c r="AR179" s="7"/>
    </row>
    <row r="180" spans="1:44" ht="6.75" customHeight="1" x14ac:dyDescent="0.3">
      <c r="A180" s="13"/>
      <c r="B180" s="60"/>
      <c r="C180" s="1"/>
      <c r="D180" s="60"/>
      <c r="E180" s="25"/>
      <c r="F180" s="25"/>
      <c r="G180" s="25"/>
      <c r="H180" s="25"/>
      <c r="I180" s="7"/>
      <c r="J180" s="7"/>
      <c r="K180" s="7"/>
      <c r="L180" s="7"/>
      <c r="M180" s="7"/>
      <c r="N180" s="7"/>
      <c r="O180" s="7"/>
      <c r="P180" s="7"/>
      <c r="Q180" s="1"/>
      <c r="R180" s="1"/>
      <c r="S180" s="7"/>
      <c r="T180" s="7"/>
      <c r="U180" s="7"/>
      <c r="V180" s="7"/>
      <c r="W180" s="7"/>
      <c r="X180" s="7"/>
      <c r="Y180" s="7"/>
      <c r="Z180" s="7"/>
      <c r="AA180" s="7"/>
      <c r="AB180" s="7"/>
      <c r="AC180" s="7"/>
      <c r="AD180" s="7"/>
      <c r="AE180" s="7"/>
      <c r="AF180" s="7"/>
      <c r="AG180" s="7"/>
      <c r="AH180" s="7"/>
      <c r="AI180" s="7"/>
      <c r="AJ180" s="7"/>
      <c r="AK180" s="1"/>
      <c r="AL180" s="7"/>
      <c r="AM180" s="7"/>
      <c r="AN180" s="7"/>
      <c r="AO180" s="7"/>
      <c r="AP180" s="7"/>
      <c r="AQ180" s="7"/>
      <c r="AR180" s="7"/>
    </row>
    <row r="181" spans="1:44" x14ac:dyDescent="0.3">
      <c r="A181" s="13" t="s">
        <v>670</v>
      </c>
      <c r="B181" s="60"/>
      <c r="C181" s="1"/>
      <c r="D181" s="60"/>
      <c r="E181" s="25"/>
      <c r="F181" s="25"/>
      <c r="G181" s="25" t="s">
        <v>671</v>
      </c>
      <c r="H181" s="25"/>
      <c r="I181" s="7"/>
      <c r="J181" s="7"/>
      <c r="K181" s="7"/>
      <c r="L181" s="7"/>
      <c r="M181" s="7"/>
      <c r="N181" s="7"/>
      <c r="O181" s="7"/>
      <c r="P181" s="7"/>
      <c r="Q181" s="1"/>
      <c r="R181" s="1"/>
      <c r="S181" s="7" t="s">
        <v>672</v>
      </c>
      <c r="T181" s="7"/>
      <c r="U181" s="7"/>
      <c r="V181" s="7"/>
      <c r="W181" s="7"/>
      <c r="X181" s="7"/>
      <c r="Y181" s="7"/>
      <c r="Z181" s="7"/>
      <c r="AA181" s="7"/>
      <c r="AB181" s="7"/>
      <c r="AC181" s="7"/>
      <c r="AD181" s="7"/>
      <c r="AE181" s="7"/>
      <c r="AF181" s="7"/>
      <c r="AG181" s="7"/>
      <c r="AH181" s="7"/>
      <c r="AI181" s="7" t="s">
        <v>673</v>
      </c>
      <c r="AJ181" s="7"/>
      <c r="AK181" s="1"/>
      <c r="AL181" s="7"/>
      <c r="AM181" s="7"/>
      <c r="AN181" s="7"/>
      <c r="AO181" s="7"/>
      <c r="AP181" s="7"/>
      <c r="AQ181" s="7"/>
      <c r="AR181" s="7"/>
    </row>
    <row r="182" spans="1:44" ht="4.5" customHeight="1" x14ac:dyDescent="0.3">
      <c r="A182" s="4"/>
      <c r="B182" s="60"/>
      <c r="C182" s="1"/>
      <c r="D182" s="60"/>
      <c r="E182" s="25"/>
      <c r="F182" s="25"/>
      <c r="G182" s="25"/>
      <c r="H182" s="25"/>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row>
    <row r="183" spans="1:44" x14ac:dyDescent="0.3">
      <c r="A183" s="4"/>
      <c r="B183" s="60"/>
      <c r="C183" s="1"/>
      <c r="D183" s="1"/>
      <c r="E183" s="36" t="s">
        <v>700</v>
      </c>
      <c r="G183" s="1"/>
      <c r="H183" s="38"/>
      <c r="I183" s="49"/>
      <c r="J183" s="706"/>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707"/>
      <c r="AM183" s="707"/>
      <c r="AN183" s="707"/>
      <c r="AO183" s="707"/>
      <c r="AP183" s="707"/>
      <c r="AQ183" s="707"/>
      <c r="AR183" s="708"/>
    </row>
    <row r="184" spans="1:44" s="1" customFormat="1" ht="4.5" customHeight="1" x14ac:dyDescent="0.3">
      <c r="A184" s="4"/>
      <c r="B184" s="104"/>
      <c r="E184" s="36"/>
      <c r="H184" s="38"/>
      <c r="I184" s="49"/>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row>
    <row r="185" spans="1:44" ht="39" customHeight="1" x14ac:dyDescent="0.3">
      <c r="A185" s="4"/>
      <c r="B185" s="60"/>
      <c r="C185" s="1"/>
      <c r="D185" s="1"/>
      <c r="E185" s="55" t="str">
        <f>IF(J185&gt;"","REC",IF(calculations!Y95,"","REC"))</f>
        <v/>
      </c>
      <c r="G185" s="38"/>
      <c r="H185" s="1"/>
      <c r="I185" s="1"/>
      <c r="J185" s="706" t="str">
        <f>IF(calculations!Y95,"",CONCATENATE("FORMALIZE IF SIGNIFICANT:  ",Rec!E99))</f>
        <v/>
      </c>
      <c r="K185" s="707"/>
      <c r="L185" s="707"/>
      <c r="M185" s="707"/>
      <c r="N185" s="707"/>
      <c r="O185" s="707"/>
      <c r="P185" s="707"/>
      <c r="Q185" s="707"/>
      <c r="R185" s="707"/>
      <c r="S185" s="707"/>
      <c r="T185" s="707"/>
      <c r="U185" s="707"/>
      <c r="V185" s="707"/>
      <c r="W185" s="707"/>
      <c r="X185" s="707"/>
      <c r="Y185" s="707"/>
      <c r="Z185" s="707"/>
      <c r="AA185" s="707"/>
      <c r="AB185" s="707"/>
      <c r="AC185" s="707"/>
      <c r="AD185" s="707"/>
      <c r="AE185" s="707"/>
      <c r="AF185" s="707"/>
      <c r="AG185" s="707"/>
      <c r="AH185" s="707"/>
      <c r="AI185" s="707"/>
      <c r="AJ185" s="707"/>
      <c r="AK185" s="707"/>
      <c r="AL185" s="707"/>
      <c r="AM185" s="707"/>
      <c r="AN185" s="707"/>
      <c r="AO185" s="707"/>
      <c r="AP185" s="707"/>
      <c r="AQ185" s="707"/>
      <c r="AR185" s="708"/>
    </row>
    <row r="186" spans="1:44" s="1" customFormat="1" ht="13.5" customHeight="1" x14ac:dyDescent="0.3">
      <c r="A186" s="4"/>
      <c r="B186" s="104"/>
      <c r="E186" s="11"/>
      <c r="F186" s="36"/>
      <c r="H186" s="38"/>
      <c r="I186" s="49"/>
      <c r="J186" s="103"/>
      <c r="K186" s="103"/>
      <c r="L186" s="103"/>
      <c r="M186" s="103"/>
      <c r="N186" s="103"/>
      <c r="O186" s="103"/>
      <c r="P186" s="103"/>
      <c r="Q186" s="103"/>
      <c r="R186" s="103"/>
      <c r="S186" s="103"/>
      <c r="T186" s="103"/>
      <c r="U186" s="103"/>
      <c r="V186" s="103"/>
      <c r="W186" s="103"/>
      <c r="X186" s="103"/>
      <c r="Y186" s="103"/>
      <c r="Z186" s="103"/>
      <c r="AA186" s="103"/>
      <c r="AB186" s="103"/>
      <c r="AC186" s="103"/>
      <c r="AD186" s="103"/>
      <c r="AE186" s="103"/>
      <c r="AF186" s="103"/>
      <c r="AG186" s="103"/>
      <c r="AH186" s="103"/>
      <c r="AI186" s="103"/>
      <c r="AJ186" s="103"/>
      <c r="AK186" s="103"/>
      <c r="AL186" s="103"/>
      <c r="AM186" s="103"/>
      <c r="AN186" s="103"/>
      <c r="AO186" s="103"/>
      <c r="AP186" s="103"/>
      <c r="AQ186" s="103"/>
      <c r="AR186" s="103"/>
    </row>
    <row r="187" spans="1:44" ht="14.15" x14ac:dyDescent="0.35">
      <c r="A187" s="232" t="s">
        <v>805</v>
      </c>
      <c r="B187" s="60"/>
      <c r="C187" s="1"/>
      <c r="D187" s="58" t="s">
        <v>674</v>
      </c>
      <c r="E187" s="11"/>
      <c r="F187" s="1"/>
      <c r="G187" s="1"/>
      <c r="H187" s="1"/>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59" t="str">
        <f>calculations!AB106</f>
        <v/>
      </c>
      <c r="AL187" s="6"/>
      <c r="AM187" s="6"/>
      <c r="AN187" s="6"/>
      <c r="AO187" s="6"/>
      <c r="AP187" s="6"/>
      <c r="AQ187" s="6"/>
      <c r="AR187" s="6"/>
    </row>
    <row r="188" spans="1:44" ht="4.5" customHeight="1" x14ac:dyDescent="0.3">
      <c r="A188" s="13"/>
      <c r="B188" s="60"/>
      <c r="C188" s="7"/>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row>
    <row r="189" spans="1:44" ht="26.25" customHeight="1" x14ac:dyDescent="0.3">
      <c r="A189" s="13"/>
      <c r="B189" s="60"/>
      <c r="C189" s="1"/>
      <c r="D189" s="1"/>
      <c r="E189" s="907" t="s">
        <v>675</v>
      </c>
      <c r="F189" s="907"/>
      <c r="G189" s="907"/>
      <c r="H189" s="907"/>
      <c r="I189" s="908"/>
      <c r="J189" s="706" t="str">
        <f>CONCATENATE(X37,X39)</f>
        <v/>
      </c>
      <c r="K189" s="707"/>
      <c r="L189" s="707"/>
      <c r="M189" s="707"/>
      <c r="N189" s="707"/>
      <c r="O189" s="707"/>
      <c r="P189" s="707"/>
      <c r="Q189" s="707"/>
      <c r="R189" s="707"/>
      <c r="S189" s="707"/>
      <c r="T189" s="707"/>
      <c r="U189" s="707"/>
      <c r="V189" s="707"/>
      <c r="W189" s="707"/>
      <c r="X189" s="707"/>
      <c r="Y189" s="707"/>
      <c r="Z189" s="707"/>
      <c r="AA189" s="707"/>
      <c r="AB189" s="707"/>
      <c r="AC189" s="707"/>
      <c r="AD189" s="707"/>
      <c r="AE189" s="707"/>
      <c r="AF189" s="707"/>
      <c r="AG189" s="707"/>
      <c r="AH189" s="707"/>
      <c r="AI189" s="707"/>
      <c r="AJ189" s="707"/>
      <c r="AK189" s="707"/>
      <c r="AL189" s="707"/>
      <c r="AM189" s="707"/>
      <c r="AN189" s="707"/>
      <c r="AO189" s="707"/>
      <c r="AP189" s="707"/>
      <c r="AQ189" s="707"/>
      <c r="AR189" s="708"/>
    </row>
    <row r="190" spans="1:44" ht="15" customHeight="1" x14ac:dyDescent="0.3">
      <c r="A190" s="13"/>
      <c r="B190" s="60"/>
      <c r="C190" s="7"/>
      <c r="D190" s="6"/>
      <c r="E190" s="6"/>
      <c r="F190" s="6"/>
      <c r="G190" s="6"/>
      <c r="H190" s="185" t="s">
        <v>767</v>
      </c>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4" t="str">
        <f>IF(calculations!AC108&gt;0,"COMPLETE DETAILS FOR GRADE","")</f>
        <v/>
      </c>
    </row>
    <row r="191" spans="1:44" ht="6.75" customHeight="1" x14ac:dyDescent="0.3">
      <c r="A191" s="13"/>
      <c r="B191" s="60"/>
      <c r="I191" s="235" t="s">
        <v>851</v>
      </c>
      <c r="J191" s="233"/>
      <c r="K191" s="233"/>
      <c r="L191" s="233"/>
      <c r="M191" s="233"/>
      <c r="N191" s="233"/>
      <c r="O191" s="233"/>
      <c r="P191" s="233"/>
      <c r="Q191" s="233"/>
      <c r="R191" s="233"/>
      <c r="S191" s="233"/>
      <c r="T191" s="233"/>
      <c r="U191" s="233"/>
      <c r="V191" s="233"/>
      <c r="W191" s="233"/>
      <c r="X191" s="233"/>
      <c r="Y191" s="214"/>
      <c r="Z191" s="235"/>
      <c r="AA191" s="233"/>
      <c r="AB191" s="233"/>
      <c r="AC191" s="233"/>
      <c r="AD191" s="233"/>
      <c r="AE191" s="233"/>
      <c r="AF191" s="233"/>
      <c r="AG191" s="233"/>
      <c r="AH191" s="233"/>
      <c r="AI191" s="233"/>
      <c r="AJ191" s="233"/>
      <c r="AK191" s="233"/>
      <c r="AL191" s="233"/>
      <c r="AM191" s="233"/>
      <c r="AN191" s="233"/>
      <c r="AO191" s="233"/>
      <c r="AP191" s="233"/>
      <c r="AQ191" s="233"/>
      <c r="AR191" s="233"/>
    </row>
    <row r="192" spans="1:44" ht="27" customHeight="1" x14ac:dyDescent="0.3">
      <c r="A192" s="13" t="s">
        <v>676</v>
      </c>
      <c r="B192" s="60"/>
      <c r="C192" s="1"/>
      <c r="D192" s="1"/>
      <c r="E192" s="1"/>
      <c r="F192" s="1"/>
      <c r="G192" s="1"/>
      <c r="H192" s="1"/>
      <c r="I192" s="902" t="str">
        <f>IF(calculations!B3=1,"Staff (paid and volunteer) receives training in their specific duties (kitchen, grounds, programming, waterfront, etc.) in addition to normal JCC training; if no resident camp mark NA.","Staff (paid and volunteer) receives training in their specific duties (kitchen, grounds, programming, waterfront, etc.) in addition to normal YMCA training; if no resident camp mark NA.")</f>
        <v>Staff (paid and volunteer) receives training in their specific duties (kitchen, grounds, programming, waterfront, etc.) in addition to normal YMCA training; if no resident camp mark NA.</v>
      </c>
      <c r="J192" s="902"/>
      <c r="K192" s="902"/>
      <c r="L192" s="902"/>
      <c r="M192" s="902"/>
      <c r="N192" s="902"/>
      <c r="O192" s="902"/>
      <c r="P192" s="902"/>
      <c r="Q192" s="902"/>
      <c r="R192" s="902"/>
      <c r="S192" s="902"/>
      <c r="T192" s="902"/>
      <c r="U192" s="902"/>
      <c r="V192" s="902"/>
      <c r="W192" s="902"/>
      <c r="X192" s="902"/>
      <c r="Y192" s="902"/>
      <c r="Z192" s="902"/>
      <c r="AA192" s="902"/>
      <c r="AB192" s="902"/>
      <c r="AC192" s="902"/>
      <c r="AD192" s="902"/>
      <c r="AE192" s="902"/>
      <c r="AF192" s="902"/>
      <c r="AG192" s="902"/>
      <c r="AH192" s="902"/>
      <c r="AI192" s="902"/>
      <c r="AJ192" s="902"/>
      <c r="AK192" s="902"/>
      <c r="AL192" s="902"/>
      <c r="AM192" s="902"/>
      <c r="AN192" s="902"/>
      <c r="AO192" s="902"/>
      <c r="AP192" s="902"/>
      <c r="AQ192" s="902"/>
      <c r="AR192" s="902"/>
    </row>
    <row r="193" spans="1:44" ht="6.75" customHeight="1" x14ac:dyDescent="0.3">
      <c r="A193" s="13"/>
      <c r="B193" s="60"/>
      <c r="C193" s="1"/>
      <c r="D193" s="1"/>
      <c r="E193" s="1"/>
      <c r="F193" s="1"/>
      <c r="G193" s="1"/>
      <c r="H193" s="1"/>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row>
    <row r="194" spans="1:44" ht="26.25" customHeight="1" x14ac:dyDescent="0.3">
      <c r="A194" s="13" t="s">
        <v>0</v>
      </c>
      <c r="B194" s="60"/>
      <c r="C194" s="1"/>
      <c r="D194" s="1"/>
      <c r="E194" s="1"/>
      <c r="F194" s="1"/>
      <c r="G194" s="1"/>
      <c r="H194" s="1"/>
      <c r="I194" s="902" t="s">
        <v>1907</v>
      </c>
      <c r="J194" s="902"/>
      <c r="K194" s="902"/>
      <c r="L194" s="902"/>
      <c r="M194" s="902"/>
      <c r="N194" s="902"/>
      <c r="O194" s="902"/>
      <c r="P194" s="902"/>
      <c r="Q194" s="902"/>
      <c r="R194" s="902"/>
      <c r="S194" s="902"/>
      <c r="T194" s="902"/>
      <c r="U194" s="902"/>
      <c r="V194" s="902"/>
      <c r="W194" s="902"/>
      <c r="X194" s="902"/>
      <c r="Y194" s="902"/>
      <c r="Z194" s="902"/>
      <c r="AA194" s="902"/>
      <c r="AB194" s="902"/>
      <c r="AC194" s="902"/>
      <c r="AD194" s="902"/>
      <c r="AE194" s="902"/>
      <c r="AF194" s="902"/>
      <c r="AG194" s="902"/>
      <c r="AH194" s="902"/>
      <c r="AI194" s="902"/>
      <c r="AJ194" s="902"/>
      <c r="AK194" s="902"/>
      <c r="AL194" s="902"/>
      <c r="AM194" s="902"/>
      <c r="AN194" s="902"/>
      <c r="AO194" s="902"/>
      <c r="AP194" s="902"/>
      <c r="AQ194" s="902"/>
      <c r="AR194" s="902"/>
    </row>
    <row r="195" spans="1:44" ht="4.5" customHeight="1" x14ac:dyDescent="0.3">
      <c r="A195" s="13"/>
      <c r="B195" s="60"/>
      <c r="C195" s="1"/>
      <c r="D195" s="1"/>
      <c r="E195" s="11"/>
      <c r="F195" s="37"/>
      <c r="G195" s="38"/>
      <c r="H195" s="1"/>
      <c r="I195" s="236"/>
      <c r="J195" s="236"/>
      <c r="K195" s="236"/>
      <c r="L195" s="236"/>
      <c r="M195" s="236"/>
      <c r="N195" s="236"/>
      <c r="O195" s="236"/>
      <c r="P195" s="236"/>
      <c r="Q195" s="236"/>
      <c r="R195" s="236"/>
      <c r="S195" s="236"/>
      <c r="T195" s="236"/>
      <c r="U195" s="236"/>
      <c r="V195" s="236"/>
      <c r="W195" s="236"/>
      <c r="X195" s="236"/>
      <c r="Y195" s="236"/>
      <c r="Z195" s="236"/>
      <c r="AA195" s="236"/>
      <c r="AB195" s="236"/>
      <c r="AC195" s="236"/>
      <c r="AD195" s="236"/>
      <c r="AE195" s="236"/>
      <c r="AF195" s="236"/>
      <c r="AG195" s="236"/>
      <c r="AH195" s="236"/>
      <c r="AI195" s="236"/>
      <c r="AJ195" s="236"/>
      <c r="AK195" s="236"/>
      <c r="AL195" s="236"/>
      <c r="AM195" s="236"/>
      <c r="AN195" s="236"/>
      <c r="AO195" s="236"/>
      <c r="AP195" s="236"/>
      <c r="AQ195" s="236"/>
      <c r="AR195" s="236"/>
    </row>
    <row r="196" spans="1:44" ht="16.5" customHeight="1" x14ac:dyDescent="0.3">
      <c r="A196" s="13"/>
      <c r="B196" s="60"/>
      <c r="C196" s="1"/>
      <c r="D196" s="1"/>
      <c r="E196" s="11"/>
      <c r="F196" s="37"/>
      <c r="G196" s="38"/>
      <c r="H196" s="62" t="str">
        <f>IF(calculations!Q108=1,"details","")</f>
        <v/>
      </c>
      <c r="I196" s="724" t="str">
        <f>IF(calculations!Q108,"Briefly describe type, extent, and frequency of cooking; major equipment; # of employees.","")</f>
        <v/>
      </c>
      <c r="J196" s="725"/>
      <c r="K196" s="725"/>
      <c r="L196" s="725"/>
      <c r="M196" s="725"/>
      <c r="N196" s="725"/>
      <c r="O196" s="725"/>
      <c r="P196" s="725"/>
      <c r="Q196" s="725"/>
      <c r="R196" s="725"/>
      <c r="S196" s="725"/>
      <c r="T196" s="725"/>
      <c r="U196" s="725"/>
      <c r="V196" s="725"/>
      <c r="W196" s="725"/>
      <c r="X196" s="725"/>
      <c r="Y196" s="725"/>
      <c r="Z196" s="725"/>
      <c r="AA196" s="725"/>
      <c r="AB196" s="725"/>
      <c r="AC196" s="725"/>
      <c r="AD196" s="725"/>
      <c r="AE196" s="725"/>
      <c r="AF196" s="725"/>
      <c r="AG196" s="725"/>
      <c r="AH196" s="725"/>
      <c r="AI196" s="725"/>
      <c r="AJ196" s="725"/>
      <c r="AK196" s="725"/>
      <c r="AL196" s="725"/>
      <c r="AM196" s="725"/>
      <c r="AN196" s="725"/>
      <c r="AO196" s="725"/>
      <c r="AP196" s="725"/>
      <c r="AQ196" s="725"/>
      <c r="AR196" s="726"/>
    </row>
    <row r="197" spans="1:44" s="1" customFormat="1" ht="4.5" customHeight="1" x14ac:dyDescent="0.3">
      <c r="A197" s="13"/>
      <c r="B197" s="104"/>
      <c r="I197" s="237"/>
      <c r="J197" s="237"/>
      <c r="K197" s="237"/>
      <c r="L197" s="237"/>
      <c r="M197" s="237"/>
      <c r="N197" s="237"/>
      <c r="O197" s="237"/>
      <c r="P197" s="237"/>
      <c r="Q197" s="237"/>
      <c r="R197" s="237"/>
      <c r="S197" s="237"/>
      <c r="T197" s="237"/>
      <c r="U197" s="237"/>
      <c r="V197" s="237"/>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row>
    <row r="198" spans="1:44" ht="16.5" customHeight="1" x14ac:dyDescent="0.3">
      <c r="A198" s="13" t="s">
        <v>791</v>
      </c>
      <c r="B198" s="60"/>
      <c r="C198" s="1"/>
      <c r="D198" s="1"/>
      <c r="E198" s="1"/>
      <c r="F198" s="1"/>
      <c r="G198" s="1"/>
      <c r="H198" s="1"/>
      <c r="I198" s="909" t="str">
        <f>IF(calculations!Q108=1,"There are no deep-fat fryers, commercial mixers, or meat slicers.","")</f>
        <v/>
      </c>
      <c r="J198" s="909"/>
      <c r="K198" s="909"/>
      <c r="L198" s="909"/>
      <c r="M198" s="909"/>
      <c r="N198" s="909"/>
      <c r="O198" s="909"/>
      <c r="P198" s="909"/>
      <c r="Q198" s="909"/>
      <c r="R198" s="909"/>
      <c r="S198" s="909"/>
      <c r="T198" s="909"/>
      <c r="U198" s="909"/>
      <c r="V198" s="909"/>
      <c r="W198" s="909"/>
      <c r="X198" s="909"/>
      <c r="Y198" s="909"/>
      <c r="Z198" s="909"/>
      <c r="AA198" s="909"/>
      <c r="AB198" s="909"/>
      <c r="AC198" s="909"/>
      <c r="AD198" s="909"/>
      <c r="AE198" s="909"/>
      <c r="AF198" s="909"/>
      <c r="AG198" s="909"/>
      <c r="AH198" s="909"/>
      <c r="AI198" s="909"/>
      <c r="AJ198" s="909"/>
      <c r="AK198" s="909"/>
      <c r="AL198" s="909"/>
      <c r="AM198" s="909"/>
      <c r="AN198" s="909"/>
      <c r="AO198" s="909"/>
      <c r="AP198" s="909"/>
      <c r="AQ198" s="909"/>
      <c r="AR198" s="909"/>
    </row>
    <row r="199" spans="1:44" ht="6.75" customHeight="1" x14ac:dyDescent="0.3">
      <c r="A199" s="13"/>
      <c r="B199" s="60"/>
      <c r="C199" s="1"/>
      <c r="D199" s="1"/>
      <c r="E199" s="1"/>
      <c r="F199" s="1"/>
      <c r="G199" s="1"/>
      <c r="H199" s="1"/>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row>
    <row r="200" spans="1:44" ht="28.5" customHeight="1" x14ac:dyDescent="0.3">
      <c r="A200" s="13" t="s">
        <v>1</v>
      </c>
      <c r="B200" s="60"/>
      <c r="C200" s="1"/>
      <c r="D200" s="1"/>
      <c r="E200" s="1"/>
      <c r="F200" s="1"/>
      <c r="G200" s="1"/>
      <c r="H200" s="1"/>
      <c r="I200" s="902" t="s">
        <v>1219</v>
      </c>
      <c r="J200" s="902"/>
      <c r="K200" s="902"/>
      <c r="L200" s="902"/>
      <c r="M200" s="902"/>
      <c r="N200" s="902"/>
      <c r="O200" s="902"/>
      <c r="P200" s="902"/>
      <c r="Q200" s="902"/>
      <c r="R200" s="902"/>
      <c r="S200" s="902"/>
      <c r="T200" s="902"/>
      <c r="U200" s="902"/>
      <c r="V200" s="902"/>
      <c r="W200" s="902"/>
      <c r="X200" s="902"/>
      <c r="Y200" s="902"/>
      <c r="Z200" s="902"/>
      <c r="AA200" s="902"/>
      <c r="AB200" s="902"/>
      <c r="AC200" s="902"/>
      <c r="AD200" s="902"/>
      <c r="AE200" s="902"/>
      <c r="AF200" s="902"/>
      <c r="AG200" s="902"/>
      <c r="AH200" s="902"/>
      <c r="AI200" s="902"/>
      <c r="AJ200" s="902"/>
      <c r="AK200" s="902"/>
      <c r="AL200" s="902"/>
      <c r="AM200" s="902"/>
      <c r="AN200" s="902"/>
      <c r="AO200" s="902"/>
      <c r="AP200" s="902"/>
      <c r="AQ200" s="902"/>
      <c r="AR200" s="902"/>
    </row>
    <row r="201" spans="1:44" ht="4.5" customHeight="1" x14ac:dyDescent="0.3">
      <c r="A201" s="13"/>
      <c r="B201" s="60"/>
      <c r="C201" s="1"/>
      <c r="D201" s="1"/>
      <c r="E201" s="11"/>
      <c r="F201" s="37"/>
      <c r="G201" s="38"/>
      <c r="H201" s="1"/>
      <c r="I201" s="236"/>
      <c r="J201" s="236"/>
      <c r="K201" s="236"/>
      <c r="L201" s="236"/>
      <c r="M201" s="236"/>
      <c r="N201" s="236"/>
      <c r="O201" s="236"/>
      <c r="P201" s="236"/>
      <c r="Q201" s="236"/>
      <c r="R201" s="236"/>
      <c r="S201" s="236"/>
      <c r="T201" s="236"/>
      <c r="U201" s="236"/>
      <c r="V201" s="236"/>
      <c r="W201" s="236"/>
      <c r="X201" s="236"/>
      <c r="Y201" s="236"/>
      <c r="Z201" s="236"/>
      <c r="AA201" s="236"/>
      <c r="AB201" s="236"/>
      <c r="AC201" s="236"/>
      <c r="AD201" s="236"/>
      <c r="AE201" s="236"/>
      <c r="AF201" s="236"/>
      <c r="AG201" s="236"/>
      <c r="AH201" s="236"/>
      <c r="AI201" s="236"/>
      <c r="AJ201" s="236"/>
      <c r="AK201" s="236"/>
      <c r="AL201" s="236"/>
      <c r="AM201" s="236"/>
      <c r="AN201" s="236"/>
      <c r="AO201" s="236"/>
      <c r="AP201" s="236"/>
      <c r="AQ201" s="236"/>
      <c r="AR201" s="236"/>
    </row>
    <row r="202" spans="1:44" x14ac:dyDescent="0.3">
      <c r="A202" s="13"/>
      <c r="B202" s="60"/>
      <c r="C202" s="1"/>
      <c r="D202" s="1"/>
      <c r="E202" s="11"/>
      <c r="F202" s="37"/>
      <c r="G202" s="38"/>
      <c r="H202" s="62" t="str">
        <f>IF(calculations!Q110=1,"details","")</f>
        <v/>
      </c>
      <c r="I202" s="724" t="str">
        <f>IF(calculations!Q110=1,"# employees, training?","")</f>
        <v/>
      </c>
      <c r="J202" s="725"/>
      <c r="K202" s="725"/>
      <c r="L202" s="725"/>
      <c r="M202" s="725"/>
      <c r="N202" s="725"/>
      <c r="O202" s="725"/>
      <c r="P202" s="725"/>
      <c r="Q202" s="725"/>
      <c r="R202" s="725"/>
      <c r="S202" s="725"/>
      <c r="T202" s="725"/>
      <c r="U202" s="725"/>
      <c r="V202" s="725"/>
      <c r="W202" s="725"/>
      <c r="X202" s="725"/>
      <c r="Y202" s="725"/>
      <c r="Z202" s="725"/>
      <c r="AA202" s="725"/>
      <c r="AB202" s="725"/>
      <c r="AC202" s="725"/>
      <c r="AD202" s="725"/>
      <c r="AE202" s="725"/>
      <c r="AF202" s="725"/>
      <c r="AG202" s="725"/>
      <c r="AH202" s="725"/>
      <c r="AI202" s="725"/>
      <c r="AJ202" s="725"/>
      <c r="AK202" s="725"/>
      <c r="AL202" s="725"/>
      <c r="AM202" s="725"/>
      <c r="AN202" s="725"/>
      <c r="AO202" s="725"/>
      <c r="AP202" s="725"/>
      <c r="AQ202" s="725"/>
      <c r="AR202" s="726"/>
    </row>
    <row r="203" spans="1:44" ht="4.5" customHeight="1" x14ac:dyDescent="0.3">
      <c r="A203" s="13"/>
      <c r="B203" s="60"/>
      <c r="C203" s="1"/>
      <c r="D203" s="1"/>
      <c r="E203" s="1"/>
      <c r="F203" s="1"/>
      <c r="G203" s="1"/>
      <c r="H203" s="1"/>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row>
    <row r="204" spans="1:44" ht="27" customHeight="1" x14ac:dyDescent="0.3">
      <c r="A204" s="13" t="s">
        <v>2</v>
      </c>
      <c r="B204" s="60"/>
      <c r="C204" s="1"/>
      <c r="D204" s="1"/>
      <c r="E204" s="1"/>
      <c r="F204" s="1"/>
      <c r="G204" s="1"/>
      <c r="H204" s="1"/>
      <c r="I204" s="902" t="s">
        <v>1220</v>
      </c>
      <c r="J204" s="902"/>
      <c r="K204" s="902"/>
      <c r="L204" s="902"/>
      <c r="M204" s="902"/>
      <c r="N204" s="902"/>
      <c r="O204" s="902"/>
      <c r="P204" s="902"/>
      <c r="Q204" s="902"/>
      <c r="R204" s="902"/>
      <c r="S204" s="902"/>
      <c r="T204" s="902"/>
      <c r="U204" s="902"/>
      <c r="V204" s="902"/>
      <c r="W204" s="902"/>
      <c r="X204" s="902"/>
      <c r="Y204" s="902"/>
      <c r="Z204" s="902"/>
      <c r="AA204" s="902"/>
      <c r="AB204" s="902"/>
      <c r="AC204" s="902"/>
      <c r="AD204" s="902"/>
      <c r="AE204" s="902"/>
      <c r="AF204" s="902"/>
      <c r="AG204" s="902"/>
      <c r="AH204" s="902"/>
      <c r="AI204" s="902"/>
      <c r="AJ204" s="902"/>
      <c r="AK204" s="902"/>
      <c r="AL204" s="902"/>
      <c r="AM204" s="902"/>
      <c r="AN204" s="902"/>
      <c r="AO204" s="902"/>
      <c r="AP204" s="902"/>
      <c r="AQ204" s="902"/>
      <c r="AR204" s="902"/>
    </row>
    <row r="205" spans="1:44" ht="4.5" customHeight="1" x14ac:dyDescent="0.3">
      <c r="A205" s="13"/>
      <c r="B205" s="60"/>
      <c r="C205" s="1"/>
      <c r="D205" s="1"/>
      <c r="E205" s="11"/>
      <c r="F205" s="37"/>
      <c r="G205" s="38"/>
      <c r="H205" s="1"/>
      <c r="I205" s="236"/>
      <c r="J205" s="236"/>
      <c r="K205" s="236"/>
      <c r="L205" s="236"/>
      <c r="M205" s="236"/>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row>
    <row r="206" spans="1:44" ht="28.5" customHeight="1" x14ac:dyDescent="0.3">
      <c r="A206" s="13"/>
      <c r="B206" s="60"/>
      <c r="C206" s="1"/>
      <c r="D206" s="1"/>
      <c r="E206" s="11"/>
      <c r="F206" s="37"/>
      <c r="G206" s="38"/>
      <c r="H206" s="62" t="str">
        <f>IF(calculations!Q111=1,"details","")</f>
        <v/>
      </c>
      <c r="I206" s="724" t="str">
        <f>IF(calculations!Q111=1,"Specify weapon(s); if .22, specify ammunition (short, long, long rifle); if pellet guns, are they single pump or gas cylinder; # employees, training?","")</f>
        <v/>
      </c>
      <c r="J206" s="725"/>
      <c r="K206" s="725"/>
      <c r="L206" s="725"/>
      <c r="M206" s="725"/>
      <c r="N206" s="725"/>
      <c r="O206" s="725"/>
      <c r="P206" s="725"/>
      <c r="Q206" s="725"/>
      <c r="R206" s="725"/>
      <c r="S206" s="725"/>
      <c r="T206" s="725"/>
      <c r="U206" s="725"/>
      <c r="V206" s="725"/>
      <c r="W206" s="725"/>
      <c r="X206" s="725"/>
      <c r="Y206" s="725"/>
      <c r="Z206" s="725"/>
      <c r="AA206" s="725"/>
      <c r="AB206" s="725"/>
      <c r="AC206" s="725"/>
      <c r="AD206" s="725"/>
      <c r="AE206" s="725"/>
      <c r="AF206" s="725"/>
      <c r="AG206" s="725"/>
      <c r="AH206" s="725"/>
      <c r="AI206" s="725"/>
      <c r="AJ206" s="725"/>
      <c r="AK206" s="725"/>
      <c r="AL206" s="725"/>
      <c r="AM206" s="725"/>
      <c r="AN206" s="725"/>
      <c r="AO206" s="725"/>
      <c r="AP206" s="725"/>
      <c r="AQ206" s="725"/>
      <c r="AR206" s="726"/>
    </row>
    <row r="207" spans="1:44" ht="4.5" customHeight="1" x14ac:dyDescent="0.3">
      <c r="A207" s="13"/>
      <c r="B207" s="60"/>
      <c r="C207" s="1"/>
      <c r="D207" s="1"/>
      <c r="E207" s="1"/>
      <c r="F207" s="1"/>
      <c r="G207" s="1"/>
      <c r="H207" s="1"/>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row>
    <row r="208" spans="1:44" ht="26.25" customHeight="1" x14ac:dyDescent="0.3">
      <c r="A208" s="13" t="s">
        <v>3</v>
      </c>
      <c r="B208" s="60"/>
      <c r="C208" s="1"/>
      <c r="D208" s="1"/>
      <c r="E208" s="1"/>
      <c r="F208" s="1"/>
      <c r="G208" s="1"/>
      <c r="H208" s="1"/>
      <c r="I208" s="902" t="s">
        <v>1221</v>
      </c>
      <c r="J208" s="902"/>
      <c r="K208" s="902"/>
      <c r="L208" s="902"/>
      <c r="M208" s="902"/>
      <c r="N208" s="902"/>
      <c r="O208" s="902"/>
      <c r="P208" s="902"/>
      <c r="Q208" s="902"/>
      <c r="R208" s="902"/>
      <c r="S208" s="902"/>
      <c r="T208" s="902"/>
      <c r="U208" s="902"/>
      <c r="V208" s="902"/>
      <c r="W208" s="902"/>
      <c r="X208" s="902"/>
      <c r="Y208" s="902"/>
      <c r="Z208" s="902"/>
      <c r="AA208" s="902"/>
      <c r="AB208" s="902"/>
      <c r="AC208" s="902"/>
      <c r="AD208" s="902"/>
      <c r="AE208" s="902"/>
      <c r="AF208" s="902"/>
      <c r="AG208" s="902"/>
      <c r="AH208" s="902"/>
      <c r="AI208" s="902"/>
      <c r="AJ208" s="902"/>
      <c r="AK208" s="902"/>
      <c r="AL208" s="902"/>
      <c r="AM208" s="902"/>
      <c r="AN208" s="902"/>
      <c r="AO208" s="902"/>
      <c r="AP208" s="902"/>
      <c r="AQ208" s="902"/>
      <c r="AR208" s="902"/>
    </row>
    <row r="209" spans="1:44" ht="4.5" customHeight="1" x14ac:dyDescent="0.3">
      <c r="A209" s="13"/>
      <c r="B209" s="60"/>
      <c r="C209" s="1"/>
      <c r="D209" s="1"/>
      <c r="E209" s="11"/>
      <c r="F209" s="37"/>
      <c r="G209" s="38"/>
      <c r="H209" s="63"/>
      <c r="I209" s="236"/>
      <c r="J209" s="214"/>
      <c r="K209" s="236"/>
      <c r="L209" s="236"/>
      <c r="M209" s="236"/>
      <c r="N209" s="236"/>
      <c r="O209" s="236"/>
      <c r="P209" s="236"/>
      <c r="Q209" s="236"/>
      <c r="R209" s="236"/>
      <c r="S209" s="236"/>
      <c r="T209" s="236"/>
      <c r="U209" s="236"/>
      <c r="V209" s="236"/>
      <c r="W209" s="236"/>
      <c r="X209" s="236"/>
      <c r="Y209" s="236"/>
      <c r="Z209" s="236"/>
      <c r="AA209" s="236"/>
      <c r="AB209" s="236"/>
      <c r="AC209" s="236"/>
      <c r="AD209" s="236"/>
      <c r="AE209" s="236"/>
      <c r="AF209" s="236"/>
      <c r="AG209" s="236"/>
      <c r="AH209" s="236"/>
      <c r="AI209" s="236"/>
      <c r="AJ209" s="236"/>
      <c r="AK209" s="236"/>
      <c r="AL209" s="236"/>
      <c r="AM209" s="236"/>
      <c r="AN209" s="236"/>
      <c r="AO209" s="236"/>
      <c r="AP209" s="236"/>
      <c r="AQ209" s="236"/>
      <c r="AR209" s="236"/>
    </row>
    <row r="210" spans="1:44" ht="26.25" customHeight="1" x14ac:dyDescent="0.3">
      <c r="A210" s="13"/>
      <c r="B210" s="60"/>
      <c r="C210" s="64"/>
      <c r="D210" s="1"/>
      <c r="E210" s="1"/>
      <c r="F210" s="1"/>
      <c r="G210" s="1"/>
      <c r="H210" s="62" t="str">
        <f>IF(calculations!Q112=1,"details","")</f>
        <v/>
      </c>
      <c r="I210" s="724" t="str">
        <f>IF(calculations!Q112=1,"Describe exposure, number and type of animals, number of employees, training, seasonal or year-around, activities; if by vendor, so note; list deficiencies in the box below comments.","")</f>
        <v/>
      </c>
      <c r="J210" s="725"/>
      <c r="K210" s="725"/>
      <c r="L210" s="725"/>
      <c r="M210" s="725"/>
      <c r="N210" s="725"/>
      <c r="O210" s="725"/>
      <c r="P210" s="725"/>
      <c r="Q210" s="725"/>
      <c r="R210" s="725"/>
      <c r="S210" s="725"/>
      <c r="T210" s="725"/>
      <c r="U210" s="725"/>
      <c r="V210" s="725"/>
      <c r="W210" s="725"/>
      <c r="X210" s="725"/>
      <c r="Y210" s="725"/>
      <c r="Z210" s="725"/>
      <c r="AA210" s="725"/>
      <c r="AB210" s="725"/>
      <c r="AC210" s="725"/>
      <c r="AD210" s="725"/>
      <c r="AE210" s="725"/>
      <c r="AF210" s="725"/>
      <c r="AG210" s="725"/>
      <c r="AH210" s="725"/>
      <c r="AI210" s="725"/>
      <c r="AJ210" s="725"/>
      <c r="AK210" s="725"/>
      <c r="AL210" s="725"/>
      <c r="AM210" s="725"/>
      <c r="AN210" s="725"/>
      <c r="AO210" s="725"/>
      <c r="AP210" s="725"/>
      <c r="AQ210" s="725"/>
      <c r="AR210" s="726"/>
    </row>
    <row r="211" spans="1:44" ht="4.5" customHeight="1" x14ac:dyDescent="0.3">
      <c r="A211" s="13"/>
      <c r="B211" s="60"/>
      <c r="C211" s="1"/>
      <c r="D211" s="1"/>
      <c r="E211" s="1"/>
      <c r="F211" s="1"/>
      <c r="G211" s="1"/>
      <c r="H211" s="1"/>
      <c r="I211" s="236"/>
      <c r="J211" s="236"/>
      <c r="K211" s="236"/>
      <c r="L211" s="236"/>
      <c r="M211" s="236"/>
      <c r="N211" s="236"/>
      <c r="O211" s="236"/>
      <c r="P211" s="236"/>
      <c r="Q211" s="236"/>
      <c r="R211" s="236"/>
      <c r="S211" s="236"/>
      <c r="T211" s="236"/>
      <c r="U211" s="236"/>
      <c r="V211" s="236"/>
      <c r="W211" s="236"/>
      <c r="X211" s="236"/>
      <c r="Y211" s="236"/>
      <c r="Z211" s="236"/>
      <c r="AA211" s="236"/>
      <c r="AB211" s="236"/>
      <c r="AC211" s="236"/>
      <c r="AD211" s="236"/>
      <c r="AE211" s="236"/>
      <c r="AF211" s="236"/>
      <c r="AG211" s="236"/>
      <c r="AH211" s="236"/>
      <c r="AI211" s="236"/>
      <c r="AJ211" s="236"/>
      <c r="AK211" s="236"/>
      <c r="AL211" s="236"/>
      <c r="AM211" s="236"/>
      <c r="AN211" s="236"/>
      <c r="AO211" s="236"/>
      <c r="AP211" s="236"/>
      <c r="AQ211" s="236"/>
      <c r="AR211" s="236"/>
    </row>
    <row r="212" spans="1:44" ht="51" customHeight="1" x14ac:dyDescent="0.3">
      <c r="A212" s="13" t="s">
        <v>4</v>
      </c>
      <c r="B212" s="60"/>
      <c r="C212" s="1"/>
      <c r="D212" s="1"/>
      <c r="E212" s="1"/>
      <c r="F212" s="1"/>
      <c r="G212" s="1"/>
      <c r="H212" s="1"/>
      <c r="I212" s="902" t="s">
        <v>1222</v>
      </c>
      <c r="J212" s="902"/>
      <c r="K212" s="902"/>
      <c r="L212" s="902"/>
      <c r="M212" s="902"/>
      <c r="N212" s="902"/>
      <c r="O212" s="902"/>
      <c r="P212" s="902"/>
      <c r="Q212" s="902"/>
      <c r="R212" s="902"/>
      <c r="S212" s="902"/>
      <c r="T212" s="902"/>
      <c r="U212" s="902"/>
      <c r="V212" s="902"/>
      <c r="W212" s="902"/>
      <c r="X212" s="902"/>
      <c r="Y212" s="902"/>
      <c r="Z212" s="902"/>
      <c r="AA212" s="902"/>
      <c r="AB212" s="902"/>
      <c r="AC212" s="902"/>
      <c r="AD212" s="902"/>
      <c r="AE212" s="902"/>
      <c r="AF212" s="902"/>
      <c r="AG212" s="902"/>
      <c r="AH212" s="902"/>
      <c r="AI212" s="902"/>
      <c r="AJ212" s="902"/>
      <c r="AK212" s="902"/>
      <c r="AL212" s="902"/>
      <c r="AM212" s="902"/>
      <c r="AN212" s="902"/>
      <c r="AO212" s="902"/>
      <c r="AP212" s="902"/>
      <c r="AQ212" s="902"/>
      <c r="AR212" s="902"/>
    </row>
    <row r="213" spans="1:44" ht="4.5" customHeight="1" x14ac:dyDescent="0.3">
      <c r="A213" s="13"/>
      <c r="B213" s="60"/>
      <c r="C213" s="1"/>
      <c r="D213" s="1"/>
      <c r="E213" s="1"/>
      <c r="F213" s="1"/>
      <c r="G213" s="1"/>
      <c r="H213" s="1"/>
      <c r="I213" s="236"/>
      <c r="J213" s="236"/>
      <c r="K213" s="236"/>
      <c r="L213" s="236"/>
      <c r="M213" s="236"/>
      <c r="N213" s="236"/>
      <c r="O213" s="236"/>
      <c r="P213" s="236"/>
      <c r="Q213" s="236"/>
      <c r="R213" s="236"/>
      <c r="S213" s="236"/>
      <c r="T213" s="236"/>
      <c r="U213" s="236"/>
      <c r="V213" s="236"/>
      <c r="W213" s="236"/>
      <c r="X213" s="236"/>
      <c r="Y213" s="236"/>
      <c r="Z213" s="236"/>
      <c r="AA213" s="236"/>
      <c r="AB213" s="236"/>
      <c r="AC213" s="236"/>
      <c r="AD213" s="236"/>
      <c r="AE213" s="236"/>
      <c r="AF213" s="236"/>
      <c r="AG213" s="236"/>
      <c r="AH213" s="236"/>
      <c r="AI213" s="236"/>
      <c r="AJ213" s="236"/>
      <c r="AK213" s="236"/>
      <c r="AL213" s="236"/>
      <c r="AM213" s="236"/>
      <c r="AN213" s="236"/>
      <c r="AO213" s="236"/>
      <c r="AP213" s="236"/>
      <c r="AQ213" s="236"/>
      <c r="AR213" s="236"/>
    </row>
    <row r="214" spans="1:44" ht="28.5" customHeight="1" x14ac:dyDescent="0.3">
      <c r="A214" s="13"/>
      <c r="B214" s="60"/>
      <c r="C214" s="1"/>
      <c r="D214" s="1"/>
      <c r="E214" s="64"/>
      <c r="F214" s="64"/>
      <c r="G214" s="64"/>
      <c r="H214" s="62" t="str">
        <f>IF(calculations!Q113=1,"details","")</f>
        <v/>
      </c>
      <c r="I214" s="724" t="str">
        <f>IF(calculations!Q113=1,"Describe exposure - program(s), location(s), frequency, number of involved staff, number and type of equipment, training and certification, protocols; if supervision/management is by vendor, so note.","")</f>
        <v/>
      </c>
      <c r="J214" s="725"/>
      <c r="K214" s="725"/>
      <c r="L214" s="725"/>
      <c r="M214" s="725"/>
      <c r="N214" s="725"/>
      <c r="O214" s="725"/>
      <c r="P214" s="725"/>
      <c r="Q214" s="725"/>
      <c r="R214" s="725"/>
      <c r="S214" s="725"/>
      <c r="T214" s="725"/>
      <c r="U214" s="725"/>
      <c r="V214" s="725"/>
      <c r="W214" s="725"/>
      <c r="X214" s="725"/>
      <c r="Y214" s="725"/>
      <c r="Z214" s="725"/>
      <c r="AA214" s="725"/>
      <c r="AB214" s="725"/>
      <c r="AC214" s="725"/>
      <c r="AD214" s="725"/>
      <c r="AE214" s="725"/>
      <c r="AF214" s="725"/>
      <c r="AG214" s="725"/>
      <c r="AH214" s="725"/>
      <c r="AI214" s="725"/>
      <c r="AJ214" s="725"/>
      <c r="AK214" s="725"/>
      <c r="AL214" s="725"/>
      <c r="AM214" s="725"/>
      <c r="AN214" s="725"/>
      <c r="AO214" s="725"/>
      <c r="AP214" s="725"/>
      <c r="AQ214" s="725"/>
      <c r="AR214" s="726"/>
    </row>
    <row r="215" spans="1:44" s="1" customFormat="1" ht="4.5" customHeight="1" x14ac:dyDescent="0.3">
      <c r="A215" s="13"/>
      <c r="B215" s="104"/>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237"/>
      <c r="AM215" s="237"/>
      <c r="AN215" s="237"/>
      <c r="AO215" s="237"/>
      <c r="AP215" s="237"/>
      <c r="AQ215" s="237"/>
      <c r="AR215" s="237"/>
    </row>
    <row r="216" spans="1:44" ht="39" customHeight="1" x14ac:dyDescent="0.3">
      <c r="A216" s="13" t="s">
        <v>284</v>
      </c>
      <c r="B216" s="60"/>
      <c r="C216" s="1"/>
      <c r="D216" s="1"/>
      <c r="E216" s="1"/>
      <c r="F216" s="1"/>
      <c r="G216" s="1"/>
      <c r="H216" s="1"/>
      <c r="I216" s="902" t="s">
        <v>1223</v>
      </c>
      <c r="J216" s="902"/>
      <c r="K216" s="902"/>
      <c r="L216" s="902"/>
      <c r="M216" s="902"/>
      <c r="N216" s="902"/>
      <c r="O216" s="902"/>
      <c r="P216" s="902"/>
      <c r="Q216" s="902"/>
      <c r="R216" s="902"/>
      <c r="S216" s="902"/>
      <c r="T216" s="902"/>
      <c r="U216" s="902"/>
      <c r="V216" s="902"/>
      <c r="W216" s="902"/>
      <c r="X216" s="902"/>
      <c r="Y216" s="902"/>
      <c r="Z216" s="902"/>
      <c r="AA216" s="902"/>
      <c r="AB216" s="902"/>
      <c r="AC216" s="902"/>
      <c r="AD216" s="902"/>
      <c r="AE216" s="902"/>
      <c r="AF216" s="902"/>
      <c r="AG216" s="902"/>
      <c r="AH216" s="902"/>
      <c r="AI216" s="902"/>
      <c r="AJ216" s="902"/>
      <c r="AK216" s="902"/>
      <c r="AL216" s="902"/>
      <c r="AM216" s="902"/>
      <c r="AN216" s="902"/>
      <c r="AO216" s="902"/>
      <c r="AP216" s="902"/>
      <c r="AQ216" s="902"/>
      <c r="AR216" s="902"/>
    </row>
    <row r="217" spans="1:44" s="1" customFormat="1" ht="4.5" customHeight="1" x14ac:dyDescent="0.3">
      <c r="A217" s="13"/>
      <c r="B217" s="104"/>
      <c r="E217" s="64"/>
      <c r="F217" s="64"/>
      <c r="G217" s="64"/>
      <c r="H217" s="62"/>
      <c r="I217" s="237"/>
      <c r="J217" s="237"/>
      <c r="K217" s="237"/>
      <c r="L217" s="237"/>
      <c r="M217" s="237"/>
      <c r="N217" s="237"/>
      <c r="O217" s="237"/>
      <c r="P217" s="237"/>
      <c r="Q217" s="237"/>
      <c r="R217" s="237"/>
      <c r="S217" s="237"/>
      <c r="T217" s="237"/>
      <c r="U217" s="237"/>
      <c r="V217" s="237"/>
      <c r="W217" s="237"/>
      <c r="X217" s="237"/>
      <c r="Y217" s="237"/>
      <c r="Z217" s="237"/>
      <c r="AA217" s="237"/>
      <c r="AB217" s="237"/>
      <c r="AC217" s="237"/>
      <c r="AD217" s="237"/>
      <c r="AE217" s="237"/>
      <c r="AF217" s="237"/>
      <c r="AG217" s="237"/>
      <c r="AH217" s="237"/>
      <c r="AI217" s="237"/>
      <c r="AJ217" s="237"/>
      <c r="AK217" s="237"/>
      <c r="AL217" s="237"/>
      <c r="AM217" s="237"/>
      <c r="AN217" s="237"/>
      <c r="AO217" s="237"/>
      <c r="AP217" s="237"/>
      <c r="AQ217" s="237"/>
      <c r="AR217" s="237"/>
    </row>
    <row r="218" spans="1:44" ht="40.5" customHeight="1" x14ac:dyDescent="0.3">
      <c r="A218" s="13"/>
      <c r="B218" s="60"/>
      <c r="C218" s="1"/>
      <c r="D218" s="1"/>
      <c r="E218" s="1"/>
      <c r="F218" s="1"/>
      <c r="G218" s="1"/>
      <c r="H218" s="62" t="str">
        <f>IF(calculations!Q114=1,"details","")</f>
        <v/>
      </c>
      <c r="I218" s="724" t="str">
        <f>IF(calculations!Q114=1,"Describe exposure - number of employees, when and how long the park operates, training and experience of employees, extent of on-skate time for employees; note if park includes BMX - if so, describe separation, extent, and staff involvement.","")</f>
        <v/>
      </c>
      <c r="J218" s="725"/>
      <c r="K218" s="725"/>
      <c r="L218" s="725"/>
      <c r="M218" s="725"/>
      <c r="N218" s="725"/>
      <c r="O218" s="725"/>
      <c r="P218" s="725"/>
      <c r="Q218" s="725"/>
      <c r="R218" s="725"/>
      <c r="S218" s="725"/>
      <c r="T218" s="725"/>
      <c r="U218" s="725"/>
      <c r="V218" s="725"/>
      <c r="W218" s="725"/>
      <c r="X218" s="725"/>
      <c r="Y218" s="725"/>
      <c r="Z218" s="725"/>
      <c r="AA218" s="725"/>
      <c r="AB218" s="725"/>
      <c r="AC218" s="725"/>
      <c r="AD218" s="725"/>
      <c r="AE218" s="725"/>
      <c r="AF218" s="725"/>
      <c r="AG218" s="725"/>
      <c r="AH218" s="725"/>
      <c r="AI218" s="725"/>
      <c r="AJ218" s="725"/>
      <c r="AK218" s="725"/>
      <c r="AL218" s="725"/>
      <c r="AM218" s="725"/>
      <c r="AN218" s="725"/>
      <c r="AO218" s="725"/>
      <c r="AP218" s="725"/>
      <c r="AQ218" s="725"/>
      <c r="AR218" s="726"/>
    </row>
    <row r="219" spans="1:44" ht="4.5" customHeight="1" x14ac:dyDescent="0.3">
      <c r="A219" s="13"/>
      <c r="B219" s="60"/>
      <c r="C219" s="1"/>
      <c r="D219" s="1"/>
      <c r="E219" s="11"/>
      <c r="F219" s="37"/>
      <c r="G219" s="38"/>
      <c r="H219" s="1"/>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row>
    <row r="220" spans="1:44" x14ac:dyDescent="0.3">
      <c r="A220" s="13"/>
      <c r="B220" s="60"/>
      <c r="C220" s="1"/>
      <c r="D220" s="1"/>
      <c r="E220" s="36" t="s">
        <v>700</v>
      </c>
      <c r="G220" s="1"/>
      <c r="H220" s="1"/>
      <c r="I220" s="214"/>
      <c r="J220" s="706"/>
      <c r="K220" s="707"/>
      <c r="L220" s="707"/>
      <c r="M220" s="707"/>
      <c r="N220" s="707"/>
      <c r="O220" s="707"/>
      <c r="P220" s="707"/>
      <c r="Q220" s="707"/>
      <c r="R220" s="707"/>
      <c r="S220" s="707"/>
      <c r="T220" s="707"/>
      <c r="U220" s="707"/>
      <c r="V220" s="707"/>
      <c r="W220" s="707"/>
      <c r="X220" s="707"/>
      <c r="Y220" s="707"/>
      <c r="Z220" s="707"/>
      <c r="AA220" s="707"/>
      <c r="AB220" s="707"/>
      <c r="AC220" s="707"/>
      <c r="AD220" s="707"/>
      <c r="AE220" s="707"/>
      <c r="AF220" s="707"/>
      <c r="AG220" s="707"/>
      <c r="AH220" s="707"/>
      <c r="AI220" s="707"/>
      <c r="AJ220" s="707"/>
      <c r="AK220" s="707"/>
      <c r="AL220" s="707"/>
      <c r="AM220" s="707"/>
      <c r="AN220" s="707"/>
      <c r="AO220" s="707"/>
      <c r="AP220" s="707"/>
      <c r="AQ220" s="707"/>
      <c r="AR220" s="708"/>
    </row>
    <row r="221" spans="1:44" s="1" customFormat="1" ht="4.5" customHeight="1" x14ac:dyDescent="0.3">
      <c r="A221" s="13"/>
      <c r="B221" s="104"/>
      <c r="E221" s="36"/>
      <c r="I221" s="214"/>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row>
    <row r="222" spans="1:44" ht="270" customHeight="1" x14ac:dyDescent="0.3">
      <c r="A222" s="13"/>
      <c r="B222" s="60"/>
      <c r="C222" s="1"/>
      <c r="D222" s="1"/>
      <c r="E222" s="55" t="str">
        <f>IF(J222&gt;"","REC",IF(calculations!Y108,"","REC"))</f>
        <v/>
      </c>
      <c r="G222" s="38"/>
      <c r="H222" s="1"/>
      <c r="I222" s="214"/>
      <c r="J222" s="706" t="str">
        <f>IF(calculations!Y108,"",CONCATENATE("FORMALIZE IF SIGNIFICANT:  ",Rec!E107))</f>
        <v/>
      </c>
      <c r="K222" s="707"/>
      <c r="L222" s="707"/>
      <c r="M222" s="707"/>
      <c r="N222" s="707"/>
      <c r="O222" s="707"/>
      <c r="P222" s="707"/>
      <c r="Q222" s="707"/>
      <c r="R222" s="707"/>
      <c r="S222" s="707"/>
      <c r="T222" s="707"/>
      <c r="U222" s="707"/>
      <c r="V222" s="707"/>
      <c r="W222" s="707"/>
      <c r="X222" s="707"/>
      <c r="Y222" s="707"/>
      <c r="Z222" s="707"/>
      <c r="AA222" s="707"/>
      <c r="AB222" s="707"/>
      <c r="AC222" s="707"/>
      <c r="AD222" s="707"/>
      <c r="AE222" s="707"/>
      <c r="AF222" s="707"/>
      <c r="AG222" s="707"/>
      <c r="AH222" s="707"/>
      <c r="AI222" s="707"/>
      <c r="AJ222" s="707"/>
      <c r="AK222" s="707"/>
      <c r="AL222" s="707"/>
      <c r="AM222" s="707"/>
      <c r="AN222" s="707"/>
      <c r="AO222" s="707"/>
      <c r="AP222" s="707"/>
      <c r="AQ222" s="707"/>
      <c r="AR222" s="708"/>
    </row>
    <row r="223" spans="1:44" ht="14.15" x14ac:dyDescent="0.3">
      <c r="A223" s="13"/>
      <c r="B223" s="60"/>
      <c r="C223" s="1"/>
      <c r="D223" s="1"/>
      <c r="E223" s="11"/>
      <c r="F223" s="37"/>
      <c r="G223" s="38"/>
      <c r="H223" s="1"/>
      <c r="I223" s="6"/>
      <c r="J223" s="1"/>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row>
    <row r="224" spans="1:44" ht="14.15" x14ac:dyDescent="0.35">
      <c r="A224" s="232" t="s">
        <v>859</v>
      </c>
      <c r="B224" s="60"/>
      <c r="C224" s="1"/>
      <c r="D224" s="65" t="s">
        <v>5</v>
      </c>
      <c r="E224" s="11"/>
      <c r="F224" s="1"/>
      <c r="G224" s="1"/>
      <c r="H224" s="1"/>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59" t="str">
        <f>calculations!AB119</f>
        <v/>
      </c>
      <c r="AL224" s="6"/>
      <c r="AM224" s="6"/>
      <c r="AN224" s="6"/>
      <c r="AO224" s="6"/>
      <c r="AP224" s="6"/>
      <c r="AQ224" s="6"/>
      <c r="AR224" s="6"/>
    </row>
    <row r="225" spans="1:44" ht="15" customHeight="1" x14ac:dyDescent="0.3">
      <c r="A225" s="13"/>
      <c r="B225" s="60"/>
      <c r="C225" s="7"/>
      <c r="D225" s="6"/>
      <c r="E225" s="6"/>
      <c r="F225" s="6"/>
      <c r="G225" s="6"/>
      <c r="H225" s="185" t="s">
        <v>767</v>
      </c>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4" t="str">
        <f>IF(calculations!AC121&gt;0,"COMPLETE DETAILS FOR GRADE","")</f>
        <v/>
      </c>
    </row>
    <row r="226" spans="1:44" ht="6.75" customHeight="1" x14ac:dyDescent="0.3">
      <c r="A226" s="13"/>
      <c r="B226" s="60"/>
      <c r="C226" s="1"/>
      <c r="D226" s="1"/>
      <c r="E226" s="1"/>
      <c r="F226" s="1"/>
      <c r="G226" s="1"/>
      <c r="H226" s="1"/>
      <c r="I226" s="235" t="s">
        <v>851</v>
      </c>
      <c r="J226" s="233"/>
      <c r="K226" s="233"/>
      <c r="L226" s="233"/>
      <c r="M226" s="233"/>
      <c r="N226" s="233"/>
      <c r="O226" s="233"/>
      <c r="P226" s="233"/>
      <c r="Q226" s="233"/>
      <c r="R226" s="233"/>
      <c r="S226" s="233"/>
      <c r="T226" s="233"/>
      <c r="U226" s="233"/>
      <c r="V226" s="233"/>
      <c r="W226" s="233"/>
      <c r="X226" s="233"/>
      <c r="Y226" s="233"/>
      <c r="Z226" s="235"/>
      <c r="AA226" s="233"/>
      <c r="AB226" s="233"/>
      <c r="AC226" s="233"/>
      <c r="AD226" s="233"/>
      <c r="AE226" s="233"/>
      <c r="AF226" s="233"/>
      <c r="AG226" s="233"/>
      <c r="AH226" s="233"/>
      <c r="AI226" s="233"/>
      <c r="AJ226" s="233"/>
      <c r="AK226" s="233"/>
      <c r="AL226" s="233"/>
      <c r="AM226" s="233"/>
      <c r="AN226" s="233"/>
      <c r="AO226" s="233"/>
      <c r="AP226" s="233"/>
      <c r="AQ226" s="233"/>
      <c r="AR226" s="233"/>
    </row>
    <row r="227" spans="1:44" ht="26.25" customHeight="1" x14ac:dyDescent="0.3">
      <c r="A227" s="13" t="s">
        <v>6</v>
      </c>
      <c r="B227" s="60"/>
      <c r="C227" s="1"/>
      <c r="D227" s="1"/>
      <c r="E227" s="1"/>
      <c r="F227" s="1"/>
      <c r="G227" s="1"/>
      <c r="H227" s="1"/>
      <c r="I227" s="902" t="s">
        <v>1224</v>
      </c>
      <c r="J227" s="902"/>
      <c r="K227" s="902"/>
      <c r="L227" s="902"/>
      <c r="M227" s="902"/>
      <c r="N227" s="902"/>
      <c r="O227" s="902"/>
      <c r="P227" s="902"/>
      <c r="Q227" s="902"/>
      <c r="R227" s="902"/>
      <c r="S227" s="902"/>
      <c r="T227" s="902"/>
      <c r="U227" s="902"/>
      <c r="V227" s="902"/>
      <c r="W227" s="902"/>
      <c r="X227" s="902"/>
      <c r="Y227" s="902"/>
      <c r="Z227" s="902"/>
      <c r="AA227" s="902"/>
      <c r="AB227" s="902"/>
      <c r="AC227" s="902"/>
      <c r="AD227" s="902"/>
      <c r="AE227" s="902"/>
      <c r="AF227" s="902"/>
      <c r="AG227" s="902"/>
      <c r="AH227" s="902"/>
      <c r="AI227" s="902"/>
      <c r="AJ227" s="902"/>
      <c r="AK227" s="902"/>
      <c r="AL227" s="902"/>
      <c r="AM227" s="902"/>
      <c r="AN227" s="902"/>
      <c r="AO227" s="902"/>
      <c r="AP227" s="902"/>
      <c r="AQ227" s="902"/>
      <c r="AR227" s="902"/>
    </row>
    <row r="228" spans="1:44" ht="4.5" customHeight="1" x14ac:dyDescent="0.3">
      <c r="A228" s="13"/>
      <c r="B228" s="60"/>
      <c r="C228" s="1"/>
      <c r="D228" s="1"/>
      <c r="E228" s="1"/>
      <c r="F228" s="1"/>
      <c r="G228" s="1"/>
      <c r="H228" s="1"/>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row>
    <row r="229" spans="1:44" ht="15" customHeight="1" x14ac:dyDescent="0.3">
      <c r="A229" s="13"/>
      <c r="B229" s="60"/>
      <c r="C229" s="1"/>
      <c r="D229" s="1"/>
      <c r="E229" s="64"/>
      <c r="F229" s="64"/>
      <c r="G229" s="64"/>
      <c r="H229" s="62" t="str">
        <f>IF(calculations!Q120=1,"details","")</f>
        <v/>
      </c>
      <c r="I229" s="724" t="str">
        <f>IF(calculations!Q120=1,"Describe exposure - number of staff, frequency, duration, type of roof, height, pitch, etc.","")</f>
        <v/>
      </c>
      <c r="J229" s="725"/>
      <c r="K229" s="725"/>
      <c r="L229" s="725"/>
      <c r="M229" s="725"/>
      <c r="N229" s="725"/>
      <c r="O229" s="725"/>
      <c r="P229" s="725"/>
      <c r="Q229" s="725"/>
      <c r="R229" s="725"/>
      <c r="S229" s="725"/>
      <c r="T229" s="725"/>
      <c r="U229" s="725"/>
      <c r="V229" s="725"/>
      <c r="W229" s="725"/>
      <c r="X229" s="725"/>
      <c r="Y229" s="725"/>
      <c r="Z229" s="725"/>
      <c r="AA229" s="725"/>
      <c r="AB229" s="725"/>
      <c r="AC229" s="725"/>
      <c r="AD229" s="725"/>
      <c r="AE229" s="725"/>
      <c r="AF229" s="725"/>
      <c r="AG229" s="725"/>
      <c r="AH229" s="725"/>
      <c r="AI229" s="725"/>
      <c r="AJ229" s="725"/>
      <c r="AK229" s="725"/>
      <c r="AL229" s="725"/>
      <c r="AM229" s="725"/>
      <c r="AN229" s="725"/>
      <c r="AO229" s="725"/>
      <c r="AP229" s="725"/>
      <c r="AQ229" s="725"/>
      <c r="AR229" s="726"/>
    </row>
    <row r="230" spans="1:44" ht="5.25" customHeight="1" x14ac:dyDescent="0.3">
      <c r="A230" s="13"/>
      <c r="B230" s="60"/>
      <c r="C230" s="1"/>
      <c r="D230" s="1"/>
      <c r="E230" s="1"/>
      <c r="F230" s="1"/>
      <c r="G230" s="1"/>
      <c r="H230" s="1"/>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row>
    <row r="231" spans="1:44" ht="27.75" customHeight="1" x14ac:dyDescent="0.3">
      <c r="A231" s="13" t="s">
        <v>7</v>
      </c>
      <c r="B231" s="60"/>
      <c r="C231" s="1"/>
      <c r="D231" s="1"/>
      <c r="E231" s="1"/>
      <c r="F231" s="1"/>
      <c r="G231" s="1"/>
      <c r="H231" s="1"/>
      <c r="I231" s="902" t="s">
        <v>1225</v>
      </c>
      <c r="J231" s="902"/>
      <c r="K231" s="902"/>
      <c r="L231" s="902"/>
      <c r="M231" s="902"/>
      <c r="N231" s="902"/>
      <c r="O231" s="902"/>
      <c r="P231" s="902"/>
      <c r="Q231" s="902"/>
      <c r="R231" s="902"/>
      <c r="S231" s="902"/>
      <c r="T231" s="902"/>
      <c r="U231" s="902"/>
      <c r="V231" s="902"/>
      <c r="W231" s="902"/>
      <c r="X231" s="902"/>
      <c r="Y231" s="902"/>
      <c r="Z231" s="902"/>
      <c r="AA231" s="902"/>
      <c r="AB231" s="902"/>
      <c r="AC231" s="902"/>
      <c r="AD231" s="902"/>
      <c r="AE231" s="902"/>
      <c r="AF231" s="902"/>
      <c r="AG231" s="902"/>
      <c r="AH231" s="902"/>
      <c r="AI231" s="902"/>
      <c r="AJ231" s="902"/>
      <c r="AK231" s="902"/>
      <c r="AL231" s="902"/>
      <c r="AM231" s="902"/>
      <c r="AN231" s="902"/>
      <c r="AO231" s="902"/>
      <c r="AP231" s="902"/>
      <c r="AQ231" s="902"/>
      <c r="AR231" s="902"/>
    </row>
    <row r="232" spans="1:44" ht="4.5" customHeight="1" x14ac:dyDescent="0.3">
      <c r="A232" s="13"/>
      <c r="B232" s="60"/>
      <c r="C232" s="1"/>
      <c r="D232" s="60"/>
      <c r="E232" s="64"/>
      <c r="F232" s="64"/>
      <c r="G232" s="64"/>
      <c r="H232" s="62" t="s">
        <v>851</v>
      </c>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row>
    <row r="233" spans="1:44" ht="27.75" customHeight="1" x14ac:dyDescent="0.3">
      <c r="A233" s="13"/>
      <c r="B233" s="60"/>
      <c r="C233" s="1"/>
      <c r="D233" s="60"/>
      <c r="E233" s="64"/>
      <c r="F233" s="64"/>
      <c r="G233" s="64"/>
      <c r="H233" s="62" t="str">
        <f>IF(calculations!Q121=1,"details","")</f>
        <v/>
      </c>
      <c r="I233" s="724" t="str">
        <f>IF(calculations!Q121=1,"Describe exposure - number of staff, frequency, duration, tree height, equipment used, training/experience, etc.","")</f>
        <v/>
      </c>
      <c r="J233" s="725"/>
      <c r="K233" s="725"/>
      <c r="L233" s="725"/>
      <c r="M233" s="725"/>
      <c r="N233" s="725"/>
      <c r="O233" s="725"/>
      <c r="P233" s="725"/>
      <c r="Q233" s="725"/>
      <c r="R233" s="725"/>
      <c r="S233" s="725"/>
      <c r="T233" s="725"/>
      <c r="U233" s="725"/>
      <c r="V233" s="725"/>
      <c r="W233" s="725"/>
      <c r="X233" s="725"/>
      <c r="Y233" s="725"/>
      <c r="Z233" s="725"/>
      <c r="AA233" s="725"/>
      <c r="AB233" s="725"/>
      <c r="AC233" s="725"/>
      <c r="AD233" s="725"/>
      <c r="AE233" s="725"/>
      <c r="AF233" s="725"/>
      <c r="AG233" s="725"/>
      <c r="AH233" s="725"/>
      <c r="AI233" s="725"/>
      <c r="AJ233" s="725"/>
      <c r="AK233" s="725"/>
      <c r="AL233" s="725"/>
      <c r="AM233" s="725"/>
      <c r="AN233" s="725"/>
      <c r="AO233" s="725"/>
      <c r="AP233" s="725"/>
      <c r="AQ233" s="725"/>
      <c r="AR233" s="726"/>
    </row>
    <row r="234" spans="1:44" ht="4.5" customHeight="1" x14ac:dyDescent="0.3">
      <c r="A234" s="13"/>
      <c r="B234" s="60"/>
      <c r="C234" s="1"/>
      <c r="D234" s="1"/>
      <c r="E234" s="1"/>
      <c r="F234" s="1"/>
      <c r="G234" s="1"/>
      <c r="H234" s="1"/>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row>
    <row r="235" spans="1:44" ht="26.25" customHeight="1" x14ac:dyDescent="0.3">
      <c r="A235" s="13" t="s">
        <v>8</v>
      </c>
      <c r="B235" s="60"/>
      <c r="C235" s="1"/>
      <c r="D235" s="1"/>
      <c r="E235" s="1"/>
      <c r="F235" s="1"/>
      <c r="G235" s="1"/>
      <c r="H235" s="1"/>
      <c r="I235" s="902" t="s">
        <v>1226</v>
      </c>
      <c r="J235" s="902"/>
      <c r="K235" s="902"/>
      <c r="L235" s="902"/>
      <c r="M235" s="902"/>
      <c r="N235" s="902"/>
      <c r="O235" s="902"/>
      <c r="P235" s="902"/>
      <c r="Q235" s="902"/>
      <c r="R235" s="902"/>
      <c r="S235" s="902"/>
      <c r="T235" s="902"/>
      <c r="U235" s="902"/>
      <c r="V235" s="902"/>
      <c r="W235" s="902"/>
      <c r="X235" s="902"/>
      <c r="Y235" s="902"/>
      <c r="Z235" s="902"/>
      <c r="AA235" s="902"/>
      <c r="AB235" s="902"/>
      <c r="AC235" s="902"/>
      <c r="AD235" s="902"/>
      <c r="AE235" s="902"/>
      <c r="AF235" s="902"/>
      <c r="AG235" s="902"/>
      <c r="AH235" s="902"/>
      <c r="AI235" s="902"/>
      <c r="AJ235" s="902"/>
      <c r="AK235" s="902"/>
      <c r="AL235" s="902"/>
      <c r="AM235" s="902"/>
      <c r="AN235" s="902"/>
      <c r="AO235" s="902"/>
      <c r="AP235" s="902"/>
      <c r="AQ235" s="902"/>
      <c r="AR235" s="902"/>
    </row>
    <row r="236" spans="1:44" ht="4.5" customHeight="1" x14ac:dyDescent="0.3">
      <c r="A236" s="13"/>
      <c r="B236" s="60"/>
      <c r="C236" s="1"/>
      <c r="D236" s="1"/>
      <c r="E236" s="1"/>
      <c r="F236" s="1"/>
      <c r="G236" s="1"/>
      <c r="H236" s="1"/>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row>
    <row r="237" spans="1:44" ht="27" customHeight="1" x14ac:dyDescent="0.3">
      <c r="A237" s="13"/>
      <c r="B237" s="60"/>
      <c r="H237" s="62" t="str">
        <f>IF(calculations!Q122=1,"details","")</f>
        <v/>
      </c>
      <c r="I237" s="724" t="str">
        <f>IF(calculations!Q122=1,"Describe exposure - number of staff, frequency, duration, navigable waters, vessel used, training/experience, etc.","")</f>
        <v/>
      </c>
      <c r="J237" s="725"/>
      <c r="K237" s="725"/>
      <c r="L237" s="725"/>
      <c r="M237" s="725"/>
      <c r="N237" s="725"/>
      <c r="O237" s="725"/>
      <c r="P237" s="725"/>
      <c r="Q237" s="725"/>
      <c r="R237" s="725"/>
      <c r="S237" s="725"/>
      <c r="T237" s="725"/>
      <c r="U237" s="725"/>
      <c r="V237" s="725"/>
      <c r="W237" s="725"/>
      <c r="X237" s="725"/>
      <c r="Y237" s="725"/>
      <c r="Z237" s="725"/>
      <c r="AA237" s="725"/>
      <c r="AB237" s="725"/>
      <c r="AC237" s="725"/>
      <c r="AD237" s="725"/>
      <c r="AE237" s="725"/>
      <c r="AF237" s="725"/>
      <c r="AG237" s="725"/>
      <c r="AH237" s="725"/>
      <c r="AI237" s="725"/>
      <c r="AJ237" s="725"/>
      <c r="AK237" s="725"/>
      <c r="AL237" s="725"/>
      <c r="AM237" s="725"/>
      <c r="AN237" s="725"/>
      <c r="AO237" s="725"/>
      <c r="AP237" s="725"/>
      <c r="AQ237" s="725"/>
      <c r="AR237" s="726"/>
    </row>
    <row r="238" spans="1:44" ht="4.5" customHeight="1" x14ac:dyDescent="0.3">
      <c r="A238" s="13"/>
      <c r="B238" s="60"/>
      <c r="C238" s="1"/>
      <c r="D238" s="1"/>
      <c r="E238" s="1"/>
      <c r="F238" s="1"/>
      <c r="G238" s="1"/>
      <c r="H238" s="1"/>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row>
    <row r="239" spans="1:44" ht="26.25" customHeight="1" x14ac:dyDescent="0.3">
      <c r="A239" s="13" t="s">
        <v>9</v>
      </c>
      <c r="B239" s="60"/>
      <c r="C239" s="1"/>
      <c r="D239" s="1"/>
      <c r="E239" s="1"/>
      <c r="F239" s="1"/>
      <c r="G239" s="1"/>
      <c r="H239" s="1"/>
      <c r="I239" s="902" t="s">
        <v>1216</v>
      </c>
      <c r="J239" s="902"/>
      <c r="K239" s="902"/>
      <c r="L239" s="902"/>
      <c r="M239" s="902"/>
      <c r="N239" s="902"/>
      <c r="O239" s="902"/>
      <c r="P239" s="902"/>
      <c r="Q239" s="902"/>
      <c r="R239" s="902"/>
      <c r="S239" s="902"/>
      <c r="T239" s="902"/>
      <c r="U239" s="902"/>
      <c r="V239" s="902"/>
      <c r="W239" s="902"/>
      <c r="X239" s="902"/>
      <c r="Y239" s="902"/>
      <c r="Z239" s="902"/>
      <c r="AA239" s="902"/>
      <c r="AB239" s="902"/>
      <c r="AC239" s="902"/>
      <c r="AD239" s="902"/>
      <c r="AE239" s="902"/>
      <c r="AF239" s="902"/>
      <c r="AG239" s="902"/>
      <c r="AH239" s="902"/>
      <c r="AI239" s="902"/>
      <c r="AJ239" s="902"/>
      <c r="AK239" s="902"/>
      <c r="AL239" s="902"/>
      <c r="AM239" s="902"/>
      <c r="AN239" s="902"/>
      <c r="AO239" s="902"/>
      <c r="AP239" s="902"/>
      <c r="AQ239" s="902"/>
      <c r="AR239" s="902"/>
    </row>
    <row r="240" spans="1:44" ht="4.5" customHeight="1" x14ac:dyDescent="0.3">
      <c r="A240" s="13"/>
      <c r="B240" s="60"/>
      <c r="C240" s="1"/>
      <c r="D240" s="1"/>
      <c r="E240" s="1"/>
      <c r="F240" s="1"/>
      <c r="G240" s="1"/>
      <c r="H240" s="1"/>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row>
    <row r="241" spans="1:44" x14ac:dyDescent="0.3">
      <c r="A241" s="13"/>
      <c r="B241" s="60"/>
      <c r="C241" s="1"/>
      <c r="D241" s="1"/>
      <c r="E241" s="64"/>
      <c r="F241" s="64"/>
      <c r="G241" s="62"/>
      <c r="H241" s="62" t="str">
        <f>IF(calculations!Q123=1,"details","")</f>
        <v/>
      </c>
      <c r="I241" s="724" t="str">
        <f>IF(calculations!Q123=1,"Describe exposure - number of staff, training/experience, type of client, presence of weapons, etc.","")</f>
        <v/>
      </c>
      <c r="J241" s="725"/>
      <c r="K241" s="725"/>
      <c r="L241" s="725"/>
      <c r="M241" s="725"/>
      <c r="N241" s="725"/>
      <c r="O241" s="725"/>
      <c r="P241" s="725"/>
      <c r="Q241" s="725"/>
      <c r="R241" s="725"/>
      <c r="S241" s="725"/>
      <c r="T241" s="725"/>
      <c r="U241" s="725"/>
      <c r="V241" s="725"/>
      <c r="W241" s="725"/>
      <c r="X241" s="725"/>
      <c r="Y241" s="725"/>
      <c r="Z241" s="725"/>
      <c r="AA241" s="725"/>
      <c r="AB241" s="725"/>
      <c r="AC241" s="725"/>
      <c r="AD241" s="725"/>
      <c r="AE241" s="725"/>
      <c r="AF241" s="725"/>
      <c r="AG241" s="725"/>
      <c r="AH241" s="725"/>
      <c r="AI241" s="725"/>
      <c r="AJ241" s="725"/>
      <c r="AK241" s="725"/>
      <c r="AL241" s="725"/>
      <c r="AM241" s="725"/>
      <c r="AN241" s="725"/>
      <c r="AO241" s="725"/>
      <c r="AP241" s="725"/>
      <c r="AQ241" s="725"/>
      <c r="AR241" s="726"/>
    </row>
    <row r="242" spans="1:44" ht="4.5" customHeight="1" x14ac:dyDescent="0.3">
      <c r="A242" s="13"/>
      <c r="B242" s="60"/>
      <c r="C242" s="1"/>
      <c r="D242" s="1"/>
      <c r="E242" s="1"/>
      <c r="F242" s="1"/>
      <c r="G242" s="1"/>
      <c r="H242" s="1"/>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row>
    <row r="243" spans="1:44" x14ac:dyDescent="0.3">
      <c r="A243" s="13" t="s">
        <v>10</v>
      </c>
      <c r="B243" s="60"/>
      <c r="C243" s="1"/>
      <c r="D243" s="1"/>
      <c r="E243" s="1"/>
      <c r="F243" s="1"/>
      <c r="G243" s="1"/>
      <c r="H243" s="1"/>
      <c r="I243" s="902" t="s">
        <v>1217</v>
      </c>
      <c r="J243" s="902"/>
      <c r="K243" s="902"/>
      <c r="L243" s="902"/>
      <c r="M243" s="902"/>
      <c r="N243" s="902"/>
      <c r="O243" s="902"/>
      <c r="P243" s="902"/>
      <c r="Q243" s="902"/>
      <c r="R243" s="902"/>
      <c r="S243" s="902"/>
      <c r="T243" s="902"/>
      <c r="U243" s="902"/>
      <c r="V243" s="902"/>
      <c r="W243" s="902"/>
      <c r="X243" s="902"/>
      <c r="Y243" s="902"/>
      <c r="Z243" s="902"/>
      <c r="AA243" s="902"/>
      <c r="AB243" s="902"/>
      <c r="AC243" s="902"/>
      <c r="AD243" s="902"/>
      <c r="AE243" s="902"/>
      <c r="AF243" s="902"/>
      <c r="AG243" s="902"/>
      <c r="AH243" s="902"/>
      <c r="AI243" s="902"/>
      <c r="AJ243" s="902"/>
      <c r="AK243" s="902"/>
      <c r="AL243" s="902"/>
      <c r="AM243" s="902"/>
      <c r="AN243" s="902"/>
      <c r="AO243" s="902"/>
      <c r="AP243" s="902"/>
      <c r="AQ243" s="902"/>
      <c r="AR243" s="902"/>
    </row>
    <row r="244" spans="1:44" ht="4.5" customHeight="1" x14ac:dyDescent="0.3">
      <c r="A244" s="4"/>
      <c r="B244" s="60"/>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row>
    <row r="245" spans="1:44" ht="27" customHeight="1" x14ac:dyDescent="0.3">
      <c r="A245" s="4"/>
      <c r="B245" s="60"/>
      <c r="C245" s="1"/>
      <c r="D245" s="1"/>
      <c r="E245" s="64"/>
      <c r="F245" s="64"/>
      <c r="G245" s="64"/>
      <c r="H245" s="62" t="str">
        <f>IF(calculations!Q124=1,"details","")</f>
        <v/>
      </c>
      <c r="I245" s="724" t="str">
        <f>IF(calculations!Q124=1,"Describe exposure - number of staff, training/experience, type and extent of work, frequency, tasks contracted to others, etc.","")</f>
        <v/>
      </c>
      <c r="J245" s="725"/>
      <c r="K245" s="725"/>
      <c r="L245" s="725"/>
      <c r="M245" s="725"/>
      <c r="N245" s="725"/>
      <c r="O245" s="725"/>
      <c r="P245" s="725"/>
      <c r="Q245" s="725"/>
      <c r="R245" s="725"/>
      <c r="S245" s="725"/>
      <c r="T245" s="725"/>
      <c r="U245" s="725"/>
      <c r="V245" s="725"/>
      <c r="W245" s="725"/>
      <c r="X245" s="725"/>
      <c r="Y245" s="725"/>
      <c r="Z245" s="725"/>
      <c r="AA245" s="725"/>
      <c r="AB245" s="725"/>
      <c r="AC245" s="725"/>
      <c r="AD245" s="725"/>
      <c r="AE245" s="725"/>
      <c r="AF245" s="725"/>
      <c r="AG245" s="725"/>
      <c r="AH245" s="725"/>
      <c r="AI245" s="725"/>
      <c r="AJ245" s="725"/>
      <c r="AK245" s="725"/>
      <c r="AL245" s="725"/>
      <c r="AM245" s="725"/>
      <c r="AN245" s="725"/>
      <c r="AO245" s="725"/>
      <c r="AP245" s="725"/>
      <c r="AQ245" s="725"/>
      <c r="AR245" s="726"/>
    </row>
    <row r="246" spans="1:44" ht="4.5" customHeight="1" x14ac:dyDescent="0.3">
      <c r="A246" s="4"/>
      <c r="B246" s="60"/>
      <c r="C246" s="1"/>
      <c r="D246" s="1"/>
      <c r="E246" s="1"/>
      <c r="F246" s="1"/>
      <c r="G246" s="1"/>
      <c r="H246" s="1"/>
      <c r="I246" s="236"/>
      <c r="J246" s="236"/>
      <c r="K246" s="236"/>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row>
    <row r="247" spans="1:44" x14ac:dyDescent="0.3">
      <c r="A247" s="4"/>
      <c r="B247" s="60"/>
      <c r="C247" s="1"/>
      <c r="D247" s="1"/>
      <c r="E247" s="36" t="s">
        <v>700</v>
      </c>
      <c r="G247" s="1"/>
      <c r="H247" s="1"/>
      <c r="I247" s="214"/>
      <c r="J247" s="706"/>
      <c r="K247" s="707"/>
      <c r="L247" s="707"/>
      <c r="M247" s="707"/>
      <c r="N247" s="707"/>
      <c r="O247" s="707"/>
      <c r="P247" s="707"/>
      <c r="Q247" s="707"/>
      <c r="R247" s="707"/>
      <c r="S247" s="707"/>
      <c r="T247" s="707"/>
      <c r="U247" s="707"/>
      <c r="V247" s="707"/>
      <c r="W247" s="707"/>
      <c r="X247" s="707"/>
      <c r="Y247" s="707"/>
      <c r="Z247" s="707"/>
      <c r="AA247" s="707"/>
      <c r="AB247" s="707"/>
      <c r="AC247" s="707"/>
      <c r="AD247" s="707"/>
      <c r="AE247" s="707"/>
      <c r="AF247" s="707"/>
      <c r="AG247" s="707"/>
      <c r="AH247" s="707"/>
      <c r="AI247" s="707"/>
      <c r="AJ247" s="707"/>
      <c r="AK247" s="707"/>
      <c r="AL247" s="707"/>
      <c r="AM247" s="707"/>
      <c r="AN247" s="707"/>
      <c r="AO247" s="707"/>
      <c r="AP247" s="707"/>
      <c r="AQ247" s="707"/>
      <c r="AR247" s="708"/>
    </row>
    <row r="248" spans="1:44" ht="4.5" customHeight="1" x14ac:dyDescent="0.3">
      <c r="A248" s="4"/>
      <c r="B248" s="60"/>
      <c r="C248" s="1"/>
      <c r="D248" s="1"/>
      <c r="E248" s="37"/>
      <c r="G248" s="1"/>
      <c r="H248" s="1"/>
      <c r="I248" s="214"/>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row>
    <row r="249" spans="1:44" ht="102" customHeight="1" x14ac:dyDescent="0.3">
      <c r="A249" s="4"/>
      <c r="B249" s="60"/>
      <c r="C249" s="1"/>
      <c r="D249" s="1"/>
      <c r="E249" s="55" t="str">
        <f>IF(J249&gt;"","REC",IF(calculations!Y121,"","REC"))</f>
        <v/>
      </c>
      <c r="G249" s="38"/>
      <c r="H249" s="1"/>
      <c r="I249" s="214"/>
      <c r="J249" s="706" t="str">
        <f>IF(calculations!Y121,"",CONCATENATE("FORMALIZE IF SIGNIFICANT:  ",Rec!E112))</f>
        <v/>
      </c>
      <c r="K249" s="707"/>
      <c r="L249" s="707"/>
      <c r="M249" s="707"/>
      <c r="N249" s="707"/>
      <c r="O249" s="707"/>
      <c r="P249" s="707"/>
      <c r="Q249" s="707"/>
      <c r="R249" s="707"/>
      <c r="S249" s="707"/>
      <c r="T249" s="707"/>
      <c r="U249" s="707"/>
      <c r="V249" s="707"/>
      <c r="W249" s="707"/>
      <c r="X249" s="707"/>
      <c r="Y249" s="707"/>
      <c r="Z249" s="707"/>
      <c r="AA249" s="707"/>
      <c r="AB249" s="707"/>
      <c r="AC249" s="707"/>
      <c r="AD249" s="707"/>
      <c r="AE249" s="707"/>
      <c r="AF249" s="707"/>
      <c r="AG249" s="707"/>
      <c r="AH249" s="707"/>
      <c r="AI249" s="707"/>
      <c r="AJ249" s="707"/>
      <c r="AK249" s="707"/>
      <c r="AL249" s="707"/>
      <c r="AM249" s="707"/>
      <c r="AN249" s="707"/>
      <c r="AO249" s="707"/>
      <c r="AP249" s="707"/>
      <c r="AQ249" s="707"/>
      <c r="AR249" s="708"/>
    </row>
    <row r="250" spans="1:44" x14ac:dyDescent="0.3">
      <c r="A250" s="4"/>
      <c r="B250" s="60"/>
      <c r="C250" s="1"/>
      <c r="D250" s="1"/>
      <c r="E250" s="11"/>
      <c r="F250" s="1"/>
      <c r="G250" s="1"/>
      <c r="H250" s="1"/>
      <c r="I250" s="1"/>
      <c r="J250" s="1"/>
      <c r="K250" s="24"/>
      <c r="L250" s="24"/>
      <c r="M250" s="24"/>
      <c r="N250" s="24"/>
      <c r="O250" s="24"/>
      <c r="P250" s="24"/>
      <c r="Q250" s="24"/>
      <c r="R250" s="24"/>
      <c r="S250" s="24"/>
      <c r="T250" s="24"/>
      <c r="U250" s="24"/>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row>
    <row r="251" spans="1:44" ht="25.3" x14ac:dyDescent="0.3">
      <c r="A251" s="732" t="s">
        <v>11</v>
      </c>
      <c r="B251" s="733"/>
      <c r="C251" s="733"/>
      <c r="D251" s="733"/>
      <c r="E251" s="733"/>
      <c r="F251" s="733"/>
      <c r="G251" s="733"/>
      <c r="H251" s="733"/>
      <c r="I251" s="733"/>
      <c r="J251" s="733"/>
      <c r="K251" s="733"/>
      <c r="L251" s="733"/>
      <c r="M251" s="733"/>
      <c r="N251" s="733"/>
      <c r="O251" s="733"/>
      <c r="P251" s="733"/>
      <c r="Q251" s="733"/>
      <c r="R251" s="733"/>
      <c r="S251" s="733"/>
      <c r="T251" s="733"/>
      <c r="U251" s="733"/>
      <c r="V251" s="733"/>
      <c r="W251" s="733"/>
      <c r="X251" s="733"/>
      <c r="Y251" s="733"/>
      <c r="Z251" s="733"/>
      <c r="AA251" s="733"/>
      <c r="AB251" s="733"/>
      <c r="AC251" s="733"/>
      <c r="AD251" s="733"/>
      <c r="AE251" s="733"/>
      <c r="AF251" s="733"/>
      <c r="AG251" s="733"/>
      <c r="AH251" s="733"/>
      <c r="AI251" s="733"/>
      <c r="AJ251" s="733"/>
      <c r="AK251" s="733"/>
      <c r="AL251" s="733"/>
      <c r="AM251" s="733"/>
      <c r="AN251" s="733"/>
      <c r="AO251" s="733"/>
      <c r="AP251" s="733"/>
      <c r="AQ251" s="733"/>
      <c r="AR251" s="733"/>
    </row>
    <row r="252" spans="1:44" x14ac:dyDescent="0.3">
      <c r="A252" s="4"/>
      <c r="B252" s="60"/>
      <c r="C252" s="4"/>
      <c r="D252" s="4"/>
      <c r="E252" s="4"/>
      <c r="F252" s="5"/>
      <c r="G252" s="4"/>
      <c r="H252" s="4"/>
      <c r="I252" s="4"/>
      <c r="J252" s="4"/>
      <c r="K252" s="4"/>
      <c r="L252" s="4"/>
      <c r="M252" s="4"/>
      <c r="N252" s="4"/>
      <c r="O252" s="4"/>
      <c r="P252" s="4"/>
      <c r="Q252" s="4"/>
      <c r="R252" s="1"/>
      <c r="S252" s="1"/>
      <c r="T252" s="1"/>
      <c r="U252" s="1"/>
      <c r="V252" s="1"/>
      <c r="W252" s="1"/>
      <c r="X252" s="1"/>
      <c r="Y252" s="4"/>
      <c r="Z252" s="4"/>
      <c r="AA252" s="4"/>
      <c r="AB252" s="4"/>
      <c r="AC252" s="691" t="s">
        <v>693</v>
      </c>
      <c r="AD252" s="692"/>
      <c r="AE252" s="692"/>
      <c r="AF252" s="692"/>
      <c r="AG252" s="692"/>
      <c r="AH252" s="693"/>
      <c r="AI252" s="1"/>
      <c r="AJ252" s="691" t="s">
        <v>694</v>
      </c>
      <c r="AK252" s="692"/>
      <c r="AL252" s="692"/>
      <c r="AM252" s="692"/>
      <c r="AN252" s="692"/>
      <c r="AO252" s="692"/>
      <c r="AP252" s="692"/>
      <c r="AQ252" s="692"/>
      <c r="AR252" s="693"/>
    </row>
    <row r="253" spans="1:44" x14ac:dyDescent="0.3">
      <c r="A253" s="4"/>
      <c r="B253" s="60"/>
      <c r="C253" s="4"/>
      <c r="D253" s="4"/>
      <c r="E253" s="4"/>
      <c r="F253" s="5"/>
      <c r="G253" s="4"/>
      <c r="H253" s="4"/>
      <c r="I253" s="4"/>
      <c r="J253" s="4"/>
      <c r="K253" s="4"/>
      <c r="L253" s="4"/>
      <c r="M253" s="4"/>
      <c r="N253" s="4"/>
      <c r="O253" s="4"/>
      <c r="P253" s="4"/>
      <c r="Q253" s="4"/>
      <c r="R253" s="1"/>
      <c r="S253" s="1"/>
      <c r="T253" s="1"/>
      <c r="U253" s="1"/>
      <c r="V253" s="1"/>
      <c r="W253" s="1"/>
      <c r="X253" s="1"/>
      <c r="Y253" s="4"/>
      <c r="Z253" s="4"/>
      <c r="AA253" s="4"/>
      <c r="AB253" s="4"/>
      <c r="AC253" s="4"/>
      <c r="AD253" s="4"/>
      <c r="AE253" s="4"/>
      <c r="AF253" s="4"/>
      <c r="AG253" s="4"/>
      <c r="AH253" s="4"/>
      <c r="AJ253" s="691" t="s">
        <v>695</v>
      </c>
      <c r="AK253" s="692"/>
      <c r="AL253" s="692"/>
      <c r="AM253" s="692"/>
      <c r="AN253" s="692"/>
      <c r="AO253" s="692"/>
      <c r="AP253" s="692"/>
      <c r="AQ253" s="692"/>
      <c r="AR253" s="693"/>
    </row>
    <row r="254" spans="1:44" ht="4.5" customHeight="1" x14ac:dyDescent="0.3">
      <c r="A254" s="13"/>
      <c r="B254" s="60"/>
      <c r="C254" s="1"/>
      <c r="D254" s="1"/>
      <c r="E254" s="1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14.15" x14ac:dyDescent="0.35">
      <c r="A255" s="637" t="s">
        <v>860</v>
      </c>
      <c r="B255" s="60"/>
      <c r="C255" s="1"/>
      <c r="D255" s="30" t="s">
        <v>69</v>
      </c>
      <c r="E255" s="1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4.5" customHeight="1" x14ac:dyDescent="0.3">
      <c r="A256" s="13"/>
      <c r="B256" s="60"/>
      <c r="C256" s="1"/>
      <c r="D256" s="1"/>
      <c r="E256" s="1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13.5" customHeight="1" x14ac:dyDescent="0.3">
      <c r="A257" s="13" t="s">
        <v>12</v>
      </c>
      <c r="B257" s="60"/>
      <c r="C257" s="31"/>
      <c r="D257" s="31"/>
      <c r="E257" s="32"/>
      <c r="F257" s="33"/>
      <c r="G257" s="31"/>
      <c r="H257" s="31"/>
      <c r="I257" s="31"/>
      <c r="J257" s="215"/>
      <c r="K257" s="214"/>
      <c r="L257" s="902" t="s">
        <v>1237</v>
      </c>
      <c r="M257" s="902"/>
      <c r="N257" s="902"/>
      <c r="O257" s="902"/>
      <c r="P257" s="902"/>
      <c r="Q257" s="902"/>
      <c r="R257" s="902"/>
      <c r="S257" s="902"/>
      <c r="T257" s="902"/>
      <c r="U257" s="902"/>
      <c r="V257" s="902"/>
      <c r="W257" s="902"/>
      <c r="X257" s="902"/>
      <c r="Y257" s="902"/>
      <c r="Z257" s="902"/>
      <c r="AA257" s="902"/>
      <c r="AB257" s="902"/>
      <c r="AC257" s="902"/>
      <c r="AD257" s="902"/>
      <c r="AE257" s="902"/>
      <c r="AF257" s="902"/>
      <c r="AG257" s="902"/>
      <c r="AH257" s="902"/>
      <c r="AI257" s="902"/>
      <c r="AJ257" s="902"/>
      <c r="AK257" s="902"/>
      <c r="AL257" s="902"/>
      <c r="AM257" s="902"/>
      <c r="AN257" s="902"/>
      <c r="AO257" s="902"/>
      <c r="AP257" s="902"/>
      <c r="AQ257" s="902"/>
      <c r="AR257" s="902"/>
    </row>
    <row r="258" spans="1:44" ht="4.5" customHeight="1" x14ac:dyDescent="0.3">
      <c r="A258" s="13"/>
      <c r="B258" s="60"/>
      <c r="C258" s="31"/>
      <c r="D258" s="31"/>
      <c r="E258" s="34"/>
      <c r="F258" s="31"/>
      <c r="G258" s="31"/>
      <c r="H258" s="31"/>
      <c r="I258" s="31"/>
      <c r="J258" s="215"/>
      <c r="K258" s="214"/>
      <c r="L258" s="214"/>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row>
    <row r="259" spans="1:44" ht="14.25" customHeight="1" x14ac:dyDescent="0.3">
      <c r="A259" s="13" t="s">
        <v>13</v>
      </c>
      <c r="B259" s="60"/>
      <c r="C259" s="31"/>
      <c r="D259" s="31"/>
      <c r="E259" s="32"/>
      <c r="F259" s="33"/>
      <c r="G259" s="31"/>
      <c r="H259" s="31"/>
      <c r="I259" s="31"/>
      <c r="J259" s="215"/>
      <c r="K259" s="214"/>
      <c r="L259" s="902" t="s">
        <v>1238</v>
      </c>
      <c r="M259" s="902"/>
      <c r="N259" s="902"/>
      <c r="O259" s="902"/>
      <c r="P259" s="902"/>
      <c r="Q259" s="902"/>
      <c r="R259" s="902"/>
      <c r="S259" s="902"/>
      <c r="T259" s="902"/>
      <c r="U259" s="902"/>
      <c r="V259" s="902"/>
      <c r="W259" s="902"/>
      <c r="X259" s="902"/>
      <c r="Y259" s="902"/>
      <c r="Z259" s="902"/>
      <c r="AA259" s="902"/>
      <c r="AB259" s="902"/>
      <c r="AC259" s="902"/>
      <c r="AD259" s="902"/>
      <c r="AE259" s="902"/>
      <c r="AF259" s="902"/>
      <c r="AG259" s="902"/>
      <c r="AH259" s="902"/>
      <c r="AI259" s="902"/>
      <c r="AJ259" s="902"/>
      <c r="AK259" s="902"/>
      <c r="AL259" s="902"/>
      <c r="AM259" s="902"/>
      <c r="AN259" s="902"/>
      <c r="AO259" s="902"/>
      <c r="AP259" s="902"/>
      <c r="AQ259" s="902"/>
      <c r="AR259" s="902"/>
    </row>
    <row r="260" spans="1:44" ht="4.5" customHeight="1" x14ac:dyDescent="0.3">
      <c r="A260" s="13"/>
      <c r="B260" s="60"/>
      <c r="C260" s="31"/>
      <c r="D260" s="31"/>
      <c r="E260" s="32"/>
      <c r="F260" s="33"/>
      <c r="G260" s="31"/>
      <c r="H260" s="31"/>
      <c r="I260" s="31"/>
      <c r="J260" s="215"/>
      <c r="K260" s="214"/>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14"/>
    </row>
    <row r="261" spans="1:44" ht="24.75" customHeight="1" x14ac:dyDescent="0.3">
      <c r="A261" s="13" t="s">
        <v>14</v>
      </c>
      <c r="B261" s="60"/>
      <c r="C261" s="31"/>
      <c r="D261" s="31"/>
      <c r="E261" s="34"/>
      <c r="F261" s="31"/>
      <c r="G261" s="31"/>
      <c r="H261" s="31"/>
      <c r="I261" s="31"/>
      <c r="J261" s="215"/>
      <c r="K261" s="214"/>
      <c r="L261" s="902" t="s">
        <v>1239</v>
      </c>
      <c r="M261" s="902"/>
      <c r="N261" s="902"/>
      <c r="O261" s="902"/>
      <c r="P261" s="902"/>
      <c r="Q261" s="902"/>
      <c r="R261" s="902"/>
      <c r="S261" s="902"/>
      <c r="T261" s="902"/>
      <c r="U261" s="902"/>
      <c r="V261" s="902"/>
      <c r="W261" s="902"/>
      <c r="X261" s="902"/>
      <c r="Y261" s="902"/>
      <c r="Z261" s="902"/>
      <c r="AA261" s="902"/>
      <c r="AB261" s="902"/>
      <c r="AC261" s="902"/>
      <c r="AD261" s="902"/>
      <c r="AE261" s="902"/>
      <c r="AF261" s="902"/>
      <c r="AG261" s="902"/>
      <c r="AH261" s="902"/>
      <c r="AI261" s="902"/>
      <c r="AJ261" s="902"/>
      <c r="AK261" s="902"/>
      <c r="AL261" s="902"/>
      <c r="AM261" s="902"/>
      <c r="AN261" s="902"/>
      <c r="AO261" s="902"/>
      <c r="AP261" s="902"/>
      <c r="AQ261" s="902"/>
      <c r="AR261" s="902"/>
    </row>
    <row r="262" spans="1:44" ht="4.5" customHeight="1" x14ac:dyDescent="0.3">
      <c r="A262" s="13"/>
      <c r="B262" s="60"/>
      <c r="C262" s="31"/>
      <c r="D262" s="31"/>
      <c r="E262" s="34"/>
      <c r="F262" s="31"/>
      <c r="G262" s="31"/>
      <c r="H262" s="31"/>
      <c r="I262" s="31"/>
      <c r="J262" s="215"/>
      <c r="K262" s="214"/>
      <c r="L262" s="214"/>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row>
    <row r="263" spans="1:44" x14ac:dyDescent="0.3">
      <c r="A263" s="13" t="s">
        <v>15</v>
      </c>
      <c r="B263" s="60"/>
      <c r="C263" s="31"/>
      <c r="D263" s="31"/>
      <c r="E263" s="32"/>
      <c r="F263" s="33"/>
      <c r="G263" s="31"/>
      <c r="H263" s="31"/>
      <c r="I263" s="31"/>
      <c r="J263" s="215"/>
      <c r="K263" s="214"/>
      <c r="L263" s="902" t="s">
        <v>1240</v>
      </c>
      <c r="M263" s="902"/>
      <c r="N263" s="902"/>
      <c r="O263" s="902"/>
      <c r="P263" s="902"/>
      <c r="Q263" s="902"/>
      <c r="R263" s="902"/>
      <c r="S263" s="902"/>
      <c r="T263" s="902"/>
      <c r="U263" s="902"/>
      <c r="V263" s="902"/>
      <c r="W263" s="902"/>
      <c r="X263" s="902"/>
      <c r="Y263" s="902"/>
      <c r="Z263" s="902"/>
      <c r="AA263" s="902"/>
      <c r="AB263" s="902"/>
      <c r="AC263" s="902"/>
      <c r="AD263" s="902"/>
      <c r="AE263" s="902"/>
      <c r="AF263" s="902"/>
      <c r="AG263" s="902"/>
      <c r="AH263" s="902"/>
      <c r="AI263" s="902"/>
      <c r="AJ263" s="902"/>
      <c r="AK263" s="902"/>
      <c r="AL263" s="902"/>
      <c r="AM263" s="902"/>
      <c r="AN263" s="902"/>
      <c r="AO263" s="902"/>
      <c r="AP263" s="902"/>
      <c r="AQ263" s="902"/>
      <c r="AR263" s="902"/>
    </row>
    <row r="264" spans="1:44" ht="4.5" customHeight="1" x14ac:dyDescent="0.3">
      <c r="A264" s="13"/>
      <c r="B264" s="60"/>
      <c r="C264" s="1"/>
      <c r="D264" s="1"/>
      <c r="E264" s="35"/>
      <c r="F264" s="1"/>
      <c r="G264" s="1"/>
      <c r="H264" s="1"/>
      <c r="I264" s="1"/>
      <c r="J264" s="214"/>
      <c r="K264" s="214"/>
      <c r="L264" s="214"/>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row>
    <row r="265" spans="1:44" ht="24.75" customHeight="1" x14ac:dyDescent="0.3">
      <c r="A265" s="13" t="s">
        <v>16</v>
      </c>
      <c r="B265" s="60"/>
      <c r="C265" s="1"/>
      <c r="D265" s="1"/>
      <c r="E265" s="11"/>
      <c r="F265" s="3"/>
      <c r="G265" s="1"/>
      <c r="H265" s="1"/>
      <c r="I265" s="1"/>
      <c r="J265" s="214"/>
      <c r="K265" s="214"/>
      <c r="L265" s="902" t="s">
        <v>1241</v>
      </c>
      <c r="M265" s="902"/>
      <c r="N265" s="902"/>
      <c r="O265" s="902"/>
      <c r="P265" s="902"/>
      <c r="Q265" s="902"/>
      <c r="R265" s="902"/>
      <c r="S265" s="902"/>
      <c r="T265" s="902"/>
      <c r="U265" s="902"/>
      <c r="V265" s="902"/>
      <c r="W265" s="902"/>
      <c r="X265" s="902"/>
      <c r="Y265" s="902"/>
      <c r="Z265" s="902"/>
      <c r="AA265" s="902"/>
      <c r="AB265" s="902"/>
      <c r="AC265" s="902"/>
      <c r="AD265" s="902"/>
      <c r="AE265" s="902"/>
      <c r="AF265" s="902"/>
      <c r="AG265" s="902"/>
      <c r="AH265" s="902"/>
      <c r="AI265" s="902"/>
      <c r="AJ265" s="902"/>
      <c r="AK265" s="902"/>
      <c r="AL265" s="902"/>
      <c r="AM265" s="902"/>
      <c r="AN265" s="902"/>
      <c r="AO265" s="902"/>
      <c r="AP265" s="902"/>
      <c r="AQ265" s="902"/>
      <c r="AR265" s="902"/>
    </row>
    <row r="266" spans="1:44" ht="4.5" customHeight="1" x14ac:dyDescent="0.3">
      <c r="A266" s="13"/>
      <c r="B266" s="60"/>
      <c r="C266" s="1"/>
      <c r="D266" s="1"/>
      <c r="E266" s="11"/>
      <c r="F266" s="1"/>
      <c r="G266" s="1"/>
      <c r="H266" s="1"/>
      <c r="I266" s="1"/>
      <c r="J266" s="214"/>
      <c r="K266" s="214"/>
      <c r="L266" s="214"/>
      <c r="M266" s="214"/>
      <c r="N266" s="214"/>
      <c r="O266" s="214"/>
      <c r="P266" s="214"/>
      <c r="Q266" s="214"/>
      <c r="R266" s="214"/>
      <c r="S266" s="214"/>
      <c r="T266" s="214"/>
      <c r="U266" s="214"/>
      <c r="V266" s="214"/>
      <c r="W266" s="214"/>
      <c r="X266" s="214"/>
      <c r="Y266" s="214"/>
      <c r="Z266" s="214"/>
      <c r="AA266" s="214"/>
      <c r="AB266" s="214"/>
      <c r="AC266" s="214"/>
      <c r="AD266" s="214"/>
      <c r="AE266" s="214"/>
      <c r="AF266" s="214"/>
      <c r="AG266" s="214"/>
      <c r="AH266" s="214"/>
      <c r="AI266" s="214"/>
      <c r="AJ266" s="214"/>
      <c r="AK266" s="214"/>
      <c r="AL266" s="214"/>
      <c r="AM266" s="214"/>
      <c r="AN266" s="214"/>
      <c r="AO266" s="214"/>
      <c r="AP266" s="214"/>
      <c r="AQ266" s="214"/>
      <c r="AR266" s="214"/>
    </row>
    <row r="267" spans="1:44" x14ac:dyDescent="0.3">
      <c r="A267" s="13"/>
      <c r="B267" s="60"/>
      <c r="C267" s="1"/>
      <c r="D267" s="1"/>
      <c r="E267" s="36" t="s">
        <v>700</v>
      </c>
      <c r="G267" s="1"/>
      <c r="H267" s="1"/>
      <c r="I267" s="1"/>
      <c r="J267" s="706" t="str">
        <f>IF(calculations!M73,"describe corrective action proposed to correct any Red Flag or Yellow Flag ranking",IF(calculations!N73,"describe corrective action proposed to correct any Red Flag or Yellow Flag ranking",""))</f>
        <v/>
      </c>
      <c r="K267" s="707"/>
      <c r="L267" s="707"/>
      <c r="M267" s="707"/>
      <c r="N267" s="707"/>
      <c r="O267" s="707"/>
      <c r="P267" s="707"/>
      <c r="Q267" s="707"/>
      <c r="R267" s="707"/>
      <c r="S267" s="707"/>
      <c r="T267" s="707"/>
      <c r="U267" s="707"/>
      <c r="V267" s="707"/>
      <c r="W267" s="707"/>
      <c r="X267" s="707"/>
      <c r="Y267" s="707"/>
      <c r="Z267" s="707"/>
      <c r="AA267" s="707"/>
      <c r="AB267" s="707"/>
      <c r="AC267" s="707"/>
      <c r="AD267" s="707"/>
      <c r="AE267" s="707"/>
      <c r="AF267" s="707"/>
      <c r="AG267" s="707"/>
      <c r="AH267" s="707"/>
      <c r="AI267" s="707"/>
      <c r="AJ267" s="707"/>
      <c r="AK267" s="707"/>
      <c r="AL267" s="707"/>
      <c r="AM267" s="707"/>
      <c r="AN267" s="707"/>
      <c r="AO267" s="707"/>
      <c r="AP267" s="707"/>
      <c r="AQ267" s="707"/>
      <c r="AR267" s="708"/>
    </row>
    <row r="268" spans="1:44" s="1" customFormat="1" ht="4.5" customHeight="1" x14ac:dyDescent="0.3">
      <c r="A268" s="13"/>
      <c r="B268" s="104"/>
      <c r="E268" s="36"/>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row>
    <row r="269" spans="1:44" ht="25.5" customHeight="1" x14ac:dyDescent="0.3">
      <c r="A269" s="13"/>
      <c r="B269" s="60"/>
      <c r="C269" s="1"/>
      <c r="D269" s="1"/>
      <c r="E269" s="55" t="str">
        <f>IF(calculations!M73,"OFE",IF(calculations!N73,"REC",IF(J269&gt;"","REC","")))</f>
        <v/>
      </c>
      <c r="G269" s="38"/>
      <c r="H269" s="1"/>
      <c r="I269" s="1"/>
      <c r="J269" s="724" t="str">
        <f>IF(calculations!M73,CONCATENATE("OFE:  ",Rec!E113),IF(calculations!N73,Rec!E114,""))</f>
        <v/>
      </c>
      <c r="K269" s="725"/>
      <c r="L269" s="725"/>
      <c r="M269" s="725"/>
      <c r="N269" s="725"/>
      <c r="O269" s="725"/>
      <c r="P269" s="725"/>
      <c r="Q269" s="725"/>
      <c r="R269" s="725"/>
      <c r="S269" s="725"/>
      <c r="T269" s="725"/>
      <c r="U269" s="725"/>
      <c r="V269" s="725"/>
      <c r="W269" s="725"/>
      <c r="X269" s="725"/>
      <c r="Y269" s="725"/>
      <c r="Z269" s="725"/>
      <c r="AA269" s="725"/>
      <c r="AB269" s="725"/>
      <c r="AC269" s="725"/>
      <c r="AD269" s="725"/>
      <c r="AE269" s="725"/>
      <c r="AF269" s="725"/>
      <c r="AG269" s="725"/>
      <c r="AH269" s="725"/>
      <c r="AI269" s="725"/>
      <c r="AJ269" s="725"/>
      <c r="AK269" s="725"/>
      <c r="AL269" s="725"/>
      <c r="AM269" s="725"/>
      <c r="AN269" s="725"/>
      <c r="AO269" s="725"/>
      <c r="AP269" s="725"/>
      <c r="AQ269" s="725"/>
      <c r="AR269" s="726"/>
    </row>
    <row r="270" spans="1:44" x14ac:dyDescent="0.3">
      <c r="A270" s="13"/>
      <c r="B270" s="60"/>
      <c r="C270" s="1"/>
      <c r="D270" s="1"/>
      <c r="E270" s="11"/>
      <c r="F270" s="37"/>
      <c r="G270" s="1"/>
      <c r="H270" s="1"/>
      <c r="I270" s="1"/>
      <c r="J270" s="8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14.15" x14ac:dyDescent="0.35">
      <c r="A271" s="637" t="s">
        <v>861</v>
      </c>
      <c r="B271" s="60"/>
      <c r="C271" s="1"/>
      <c r="D271" s="30" t="s">
        <v>738</v>
      </c>
      <c r="E271" s="1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4.5" customHeight="1" x14ac:dyDescent="0.3">
      <c r="A272" s="13"/>
      <c r="B272" s="60"/>
      <c r="C272" s="1"/>
      <c r="D272" s="1"/>
      <c r="E272" s="11"/>
      <c r="F272" s="1"/>
      <c r="G272" s="1"/>
      <c r="H272" s="1"/>
      <c r="I272" s="1"/>
      <c r="J272" s="1"/>
      <c r="K272" s="1"/>
      <c r="L272" s="1"/>
      <c r="M272" s="1"/>
      <c r="N272" s="1"/>
      <c r="O272" s="1"/>
      <c r="P272" s="1"/>
      <c r="Q272" s="1"/>
      <c r="R272" s="1"/>
      <c r="S272" s="1"/>
      <c r="T272" s="1"/>
      <c r="U272" s="39"/>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24.75" customHeight="1" x14ac:dyDescent="0.3">
      <c r="A273" s="13" t="s">
        <v>17</v>
      </c>
      <c r="B273" s="60"/>
      <c r="C273" s="31"/>
      <c r="D273" s="31"/>
      <c r="E273" s="32"/>
      <c r="F273" s="33"/>
      <c r="G273" s="31"/>
      <c r="H273" s="31"/>
      <c r="I273" s="31"/>
      <c r="J273" s="215"/>
      <c r="K273" s="214"/>
      <c r="L273" s="902" t="s">
        <v>1242</v>
      </c>
      <c r="M273" s="902"/>
      <c r="N273" s="902"/>
      <c r="O273" s="902"/>
      <c r="P273" s="902"/>
      <c r="Q273" s="902"/>
      <c r="R273" s="902"/>
      <c r="S273" s="902"/>
      <c r="T273" s="902"/>
      <c r="U273" s="902"/>
      <c r="V273" s="902"/>
      <c r="W273" s="902"/>
      <c r="X273" s="902"/>
      <c r="Y273" s="902"/>
      <c r="Z273" s="902"/>
      <c r="AA273" s="902"/>
      <c r="AB273" s="902"/>
      <c r="AC273" s="902"/>
      <c r="AD273" s="902"/>
      <c r="AE273" s="902"/>
      <c r="AF273" s="902"/>
      <c r="AG273" s="902"/>
      <c r="AH273" s="902"/>
      <c r="AI273" s="902"/>
      <c r="AJ273" s="902"/>
      <c r="AK273" s="902"/>
      <c r="AL273" s="902"/>
      <c r="AM273" s="902"/>
      <c r="AN273" s="902"/>
      <c r="AO273" s="902"/>
      <c r="AP273" s="902"/>
      <c r="AQ273" s="902"/>
      <c r="AR273" s="902"/>
    </row>
    <row r="274" spans="1:44" ht="4.5" customHeight="1" x14ac:dyDescent="0.3">
      <c r="A274" s="13"/>
      <c r="B274" s="60"/>
      <c r="C274" s="31"/>
      <c r="D274" s="31"/>
      <c r="E274" s="34"/>
      <c r="F274" s="31"/>
      <c r="G274" s="31"/>
      <c r="H274" s="31"/>
      <c r="I274" s="31"/>
      <c r="J274" s="215"/>
      <c r="K274" s="214"/>
      <c r="L274" s="214"/>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row>
    <row r="275" spans="1:44" ht="24.75" customHeight="1" x14ac:dyDescent="0.3">
      <c r="A275" s="13" t="s">
        <v>18</v>
      </c>
      <c r="B275" s="60"/>
      <c r="C275" s="31"/>
      <c r="D275" s="31"/>
      <c r="E275" s="32"/>
      <c r="F275" s="33"/>
      <c r="G275" s="31"/>
      <c r="H275" s="31"/>
      <c r="I275" s="31"/>
      <c r="J275" s="215"/>
      <c r="K275" s="214"/>
      <c r="L275" s="902" t="s">
        <v>1243</v>
      </c>
      <c r="M275" s="902"/>
      <c r="N275" s="902"/>
      <c r="O275" s="902"/>
      <c r="P275" s="902"/>
      <c r="Q275" s="902"/>
      <c r="R275" s="902"/>
      <c r="S275" s="902"/>
      <c r="T275" s="902"/>
      <c r="U275" s="902"/>
      <c r="V275" s="902"/>
      <c r="W275" s="902"/>
      <c r="X275" s="902"/>
      <c r="Y275" s="902"/>
      <c r="Z275" s="902"/>
      <c r="AA275" s="902"/>
      <c r="AB275" s="902"/>
      <c r="AC275" s="902"/>
      <c r="AD275" s="902"/>
      <c r="AE275" s="902"/>
      <c r="AF275" s="902"/>
      <c r="AG275" s="902"/>
      <c r="AH275" s="902"/>
      <c r="AI275" s="902"/>
      <c r="AJ275" s="902"/>
      <c r="AK275" s="902"/>
      <c r="AL275" s="902"/>
      <c r="AM275" s="902"/>
      <c r="AN275" s="902"/>
      <c r="AO275" s="902"/>
      <c r="AP275" s="902"/>
      <c r="AQ275" s="902"/>
      <c r="AR275" s="902"/>
    </row>
    <row r="276" spans="1:44" ht="4.5" customHeight="1" x14ac:dyDescent="0.3">
      <c r="A276" s="13"/>
      <c r="B276" s="60"/>
      <c r="C276" s="31"/>
      <c r="D276" s="31"/>
      <c r="E276" s="32"/>
      <c r="F276" s="33"/>
      <c r="G276" s="31"/>
      <c r="H276" s="31"/>
      <c r="I276" s="31"/>
      <c r="J276" s="215"/>
      <c r="K276" s="214"/>
      <c r="L276" s="214"/>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row>
    <row r="277" spans="1:44" ht="24.75" customHeight="1" x14ac:dyDescent="0.3">
      <c r="A277" s="13" t="s">
        <v>19</v>
      </c>
      <c r="B277" s="60"/>
      <c r="C277" s="31"/>
      <c r="D277" s="31"/>
      <c r="E277" s="34"/>
      <c r="F277" s="31"/>
      <c r="G277" s="31"/>
      <c r="H277" s="31"/>
      <c r="I277" s="31"/>
      <c r="J277" s="215"/>
      <c r="K277" s="214"/>
      <c r="L277" s="900" t="s">
        <v>1244</v>
      </c>
      <c r="M277" s="900"/>
      <c r="N277" s="900"/>
      <c r="O277" s="900"/>
      <c r="P277" s="900"/>
      <c r="Q277" s="900"/>
      <c r="R277" s="900"/>
      <c r="S277" s="900"/>
      <c r="T277" s="900"/>
      <c r="U277" s="900"/>
      <c r="V277" s="900"/>
      <c r="W277" s="900"/>
      <c r="X277" s="900"/>
      <c r="Y277" s="900"/>
      <c r="Z277" s="900"/>
      <c r="AA277" s="900"/>
      <c r="AB277" s="900"/>
      <c r="AC277" s="900"/>
      <c r="AD277" s="900"/>
      <c r="AE277" s="900"/>
      <c r="AF277" s="900"/>
      <c r="AG277" s="900"/>
      <c r="AH277" s="900"/>
      <c r="AI277" s="900"/>
      <c r="AJ277" s="900"/>
      <c r="AK277" s="900"/>
      <c r="AL277" s="900"/>
      <c r="AM277" s="900"/>
      <c r="AN277" s="900"/>
      <c r="AO277" s="900"/>
      <c r="AP277" s="900"/>
      <c r="AQ277" s="900"/>
      <c r="AR277" s="900"/>
    </row>
    <row r="278" spans="1:44" ht="4.5" customHeight="1" x14ac:dyDescent="0.3">
      <c r="A278" s="13"/>
      <c r="B278" s="60"/>
      <c r="C278" s="31"/>
      <c r="D278" s="31"/>
      <c r="E278" s="34"/>
      <c r="F278" s="31"/>
      <c r="G278" s="31"/>
      <c r="H278" s="31"/>
      <c r="I278" s="31"/>
      <c r="J278" s="215"/>
      <c r="K278" s="214"/>
      <c r="L278" s="214"/>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row>
    <row r="279" spans="1:44" x14ac:dyDescent="0.3">
      <c r="A279" s="13" t="s">
        <v>20</v>
      </c>
      <c r="B279" s="60"/>
      <c r="C279" s="31"/>
      <c r="D279" s="31"/>
      <c r="E279" s="32"/>
      <c r="F279" s="33"/>
      <c r="G279" s="31"/>
      <c r="H279" s="31"/>
      <c r="I279" s="31"/>
      <c r="J279" s="215"/>
      <c r="K279" s="214"/>
      <c r="L279" s="900" t="s">
        <v>1245</v>
      </c>
      <c r="M279" s="900"/>
      <c r="N279" s="900"/>
      <c r="O279" s="900"/>
      <c r="P279" s="900"/>
      <c r="Q279" s="900"/>
      <c r="R279" s="900"/>
      <c r="S279" s="900"/>
      <c r="T279" s="900"/>
      <c r="U279" s="900"/>
      <c r="V279" s="900"/>
      <c r="W279" s="900"/>
      <c r="X279" s="900"/>
      <c r="Y279" s="900"/>
      <c r="Z279" s="900"/>
      <c r="AA279" s="900"/>
      <c r="AB279" s="900"/>
      <c r="AC279" s="900"/>
      <c r="AD279" s="900"/>
      <c r="AE279" s="900"/>
      <c r="AF279" s="900"/>
      <c r="AG279" s="900"/>
      <c r="AH279" s="900"/>
      <c r="AI279" s="900"/>
      <c r="AJ279" s="900"/>
      <c r="AK279" s="900"/>
      <c r="AL279" s="900"/>
      <c r="AM279" s="900"/>
      <c r="AN279" s="900"/>
      <c r="AO279" s="900"/>
      <c r="AP279" s="900"/>
      <c r="AQ279" s="900"/>
      <c r="AR279" s="900"/>
    </row>
    <row r="280" spans="1:44" ht="4.5" customHeight="1" x14ac:dyDescent="0.3">
      <c r="A280" s="13"/>
      <c r="B280" s="60"/>
      <c r="C280" s="1"/>
      <c r="D280" s="1"/>
      <c r="E280" s="35"/>
      <c r="F280" s="1"/>
      <c r="G280" s="1"/>
      <c r="H280" s="1"/>
      <c r="I280" s="1"/>
      <c r="J280" s="214"/>
      <c r="K280" s="214"/>
      <c r="L280" s="214"/>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row>
    <row r="281" spans="1:44" ht="26.25" customHeight="1" x14ac:dyDescent="0.3">
      <c r="A281" s="13" t="s">
        <v>21</v>
      </c>
      <c r="B281" s="60"/>
      <c r="C281" s="1"/>
      <c r="D281" s="1"/>
      <c r="E281" s="11"/>
      <c r="F281" s="3"/>
      <c r="G281" s="1"/>
      <c r="H281" s="1"/>
      <c r="I281" s="1"/>
      <c r="J281" s="214"/>
      <c r="K281" s="214"/>
      <c r="L281" s="900" t="s">
        <v>1246</v>
      </c>
      <c r="M281" s="900"/>
      <c r="N281" s="900"/>
      <c r="O281" s="900"/>
      <c r="P281" s="900"/>
      <c r="Q281" s="900"/>
      <c r="R281" s="900"/>
      <c r="S281" s="900"/>
      <c r="T281" s="900"/>
      <c r="U281" s="900"/>
      <c r="V281" s="900"/>
      <c r="W281" s="900"/>
      <c r="X281" s="900"/>
      <c r="Y281" s="900"/>
      <c r="Z281" s="900"/>
      <c r="AA281" s="900"/>
      <c r="AB281" s="900"/>
      <c r="AC281" s="900"/>
      <c r="AD281" s="900"/>
      <c r="AE281" s="900"/>
      <c r="AF281" s="900"/>
      <c r="AG281" s="900"/>
      <c r="AH281" s="900"/>
      <c r="AI281" s="900"/>
      <c r="AJ281" s="900"/>
      <c r="AK281" s="900"/>
      <c r="AL281" s="900"/>
      <c r="AM281" s="900"/>
      <c r="AN281" s="900"/>
      <c r="AO281" s="900"/>
      <c r="AP281" s="900"/>
      <c r="AQ281" s="900"/>
      <c r="AR281" s="900"/>
    </row>
    <row r="282" spans="1:44" ht="4.5" customHeight="1" x14ac:dyDescent="0.3">
      <c r="A282" s="13"/>
      <c r="B282" s="60"/>
      <c r="C282" s="1"/>
      <c r="D282" s="1"/>
      <c r="E282" s="11"/>
      <c r="F282" s="1"/>
      <c r="G282" s="1"/>
      <c r="H282" s="1"/>
      <c r="I282" s="1"/>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row>
    <row r="283" spans="1:44" x14ac:dyDescent="0.3">
      <c r="A283" s="13"/>
      <c r="B283" s="60"/>
      <c r="C283" s="1"/>
      <c r="D283" s="1"/>
      <c r="E283" s="36" t="s">
        <v>700</v>
      </c>
      <c r="G283" s="1"/>
      <c r="H283" s="1"/>
      <c r="I283" s="1"/>
      <c r="J283" s="706" t="str">
        <f>IF(calculations!M74,"describe corrective action proposed to correct any Red Flag or Yellow Flag ranking",IF(calculations!N74,"describe corrective action proposed to correct any Red Flag or Yellow Flag ranking",""))</f>
        <v/>
      </c>
      <c r="K283" s="707"/>
      <c r="L283" s="707"/>
      <c r="M283" s="707"/>
      <c r="N283" s="707"/>
      <c r="O283" s="707"/>
      <c r="P283" s="707"/>
      <c r="Q283" s="707"/>
      <c r="R283" s="707"/>
      <c r="S283" s="707"/>
      <c r="T283" s="707"/>
      <c r="U283" s="707"/>
      <c r="V283" s="707"/>
      <c r="W283" s="707"/>
      <c r="X283" s="707"/>
      <c r="Y283" s="707"/>
      <c r="Z283" s="707"/>
      <c r="AA283" s="707"/>
      <c r="AB283" s="707"/>
      <c r="AC283" s="707"/>
      <c r="AD283" s="707"/>
      <c r="AE283" s="707"/>
      <c r="AF283" s="707"/>
      <c r="AG283" s="707"/>
      <c r="AH283" s="707"/>
      <c r="AI283" s="707"/>
      <c r="AJ283" s="707"/>
      <c r="AK283" s="707"/>
      <c r="AL283" s="707"/>
      <c r="AM283" s="707"/>
      <c r="AN283" s="707"/>
      <c r="AO283" s="707"/>
      <c r="AP283" s="707"/>
      <c r="AQ283" s="707"/>
      <c r="AR283" s="708"/>
    </row>
    <row r="284" spans="1:44" ht="4.5" customHeight="1" x14ac:dyDescent="0.3">
      <c r="A284" s="13"/>
      <c r="B284" s="60"/>
      <c r="C284" s="1"/>
      <c r="D284" s="1"/>
      <c r="E284" s="1"/>
      <c r="G284" s="1"/>
      <c r="H284" s="1"/>
      <c r="I284" s="1"/>
      <c r="J284" s="214"/>
      <c r="K284" s="214"/>
      <c r="L284" s="214"/>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row>
    <row r="285" spans="1:44" ht="27" customHeight="1" x14ac:dyDescent="0.3">
      <c r="A285" s="13"/>
      <c r="B285" s="60"/>
      <c r="C285" s="1"/>
      <c r="D285" s="1"/>
      <c r="E285" s="55" t="str">
        <f>IF(calculations!M74,"OFE",IF(calculations!N74,"REC",IF(J285&gt;"","REC","")))</f>
        <v/>
      </c>
      <c r="G285" s="38"/>
      <c r="H285" s="1"/>
      <c r="I285" s="1"/>
      <c r="J285" s="724" t="str">
        <f>IF(calculations!M74,CONCATENATE("OFE:  ",Rec!E115),IF(calculations!N74,Rec!E116,""))</f>
        <v/>
      </c>
      <c r="K285" s="725"/>
      <c r="L285" s="725"/>
      <c r="M285" s="725"/>
      <c r="N285" s="725"/>
      <c r="O285" s="725"/>
      <c r="P285" s="725"/>
      <c r="Q285" s="725"/>
      <c r="R285" s="725"/>
      <c r="S285" s="725"/>
      <c r="T285" s="725"/>
      <c r="U285" s="725"/>
      <c r="V285" s="725"/>
      <c r="W285" s="725"/>
      <c r="X285" s="725"/>
      <c r="Y285" s="725"/>
      <c r="Z285" s="725"/>
      <c r="AA285" s="725"/>
      <c r="AB285" s="725"/>
      <c r="AC285" s="725"/>
      <c r="AD285" s="725"/>
      <c r="AE285" s="725"/>
      <c r="AF285" s="725"/>
      <c r="AG285" s="725"/>
      <c r="AH285" s="725"/>
      <c r="AI285" s="725"/>
      <c r="AJ285" s="725"/>
      <c r="AK285" s="725"/>
      <c r="AL285" s="725"/>
      <c r="AM285" s="725"/>
      <c r="AN285" s="725"/>
      <c r="AO285" s="725"/>
      <c r="AP285" s="725"/>
      <c r="AQ285" s="725"/>
      <c r="AR285" s="726"/>
    </row>
    <row r="286" spans="1:44" x14ac:dyDescent="0.3">
      <c r="A286" s="13"/>
      <c r="B286" s="60"/>
      <c r="C286" s="39"/>
      <c r="D286" s="39"/>
      <c r="E286" s="44"/>
      <c r="F286" s="37"/>
      <c r="G286" s="39"/>
      <c r="H286" s="39"/>
      <c r="I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4.15" x14ac:dyDescent="0.35">
      <c r="A287" s="232" t="s">
        <v>862</v>
      </c>
      <c r="B287" s="60"/>
      <c r="C287" s="39"/>
      <c r="D287" s="47" t="s">
        <v>22</v>
      </c>
      <c r="E287" s="44"/>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4.5" customHeight="1" x14ac:dyDescent="0.3">
      <c r="A288" s="13"/>
      <c r="B288" s="60"/>
      <c r="C288" s="1"/>
      <c r="D288" s="1"/>
      <c r="E288" s="11"/>
      <c r="F288" s="1"/>
      <c r="G288" s="1"/>
      <c r="H288" s="1"/>
      <c r="I288" s="1"/>
      <c r="J288" s="1"/>
      <c r="K288" s="1"/>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x14ac:dyDescent="0.3">
      <c r="A289" s="13" t="s">
        <v>23</v>
      </c>
      <c r="B289" s="60"/>
      <c r="C289" s="31"/>
      <c r="D289" s="31"/>
      <c r="E289" s="32"/>
      <c r="F289" s="33"/>
      <c r="G289" s="31"/>
      <c r="H289" s="31"/>
      <c r="I289" s="31"/>
      <c r="J289" s="215"/>
      <c r="K289" s="214"/>
      <c r="L289" s="910" t="s">
        <v>1258</v>
      </c>
      <c r="M289" s="910"/>
      <c r="N289" s="910"/>
      <c r="O289" s="910"/>
      <c r="P289" s="910"/>
      <c r="Q289" s="910"/>
      <c r="R289" s="910"/>
      <c r="S289" s="910"/>
      <c r="T289" s="910"/>
      <c r="U289" s="910"/>
      <c r="V289" s="910"/>
      <c r="W289" s="910"/>
      <c r="X289" s="910"/>
      <c r="Y289" s="910"/>
      <c r="Z289" s="910"/>
      <c r="AA289" s="910"/>
      <c r="AB289" s="910"/>
      <c r="AC289" s="910"/>
      <c r="AD289" s="910"/>
      <c r="AE289" s="910"/>
      <c r="AF289" s="910"/>
      <c r="AG289" s="910"/>
      <c r="AH289" s="910"/>
      <c r="AI289" s="910"/>
      <c r="AJ289" s="910"/>
      <c r="AK289" s="910"/>
      <c r="AL289" s="910"/>
      <c r="AM289" s="910"/>
      <c r="AN289" s="910"/>
      <c r="AO289" s="910"/>
      <c r="AP289" s="910"/>
      <c r="AQ289" s="910"/>
      <c r="AR289" s="910"/>
    </row>
    <row r="290" spans="1:44" ht="4.5" customHeight="1" x14ac:dyDescent="0.3">
      <c r="A290" s="13"/>
      <c r="B290" s="60"/>
      <c r="C290" s="31"/>
      <c r="D290" s="31"/>
      <c r="E290" s="34"/>
      <c r="F290" s="31"/>
      <c r="G290" s="31"/>
      <c r="H290" s="31"/>
      <c r="I290" s="31"/>
      <c r="J290" s="215"/>
      <c r="K290" s="214"/>
      <c r="L290" s="218"/>
      <c r="M290" s="218"/>
      <c r="N290" s="218"/>
      <c r="O290" s="218"/>
      <c r="P290" s="218"/>
      <c r="Q290" s="218"/>
      <c r="R290" s="218"/>
      <c r="S290" s="218"/>
      <c r="T290" s="218"/>
      <c r="U290" s="218"/>
      <c r="V290" s="218"/>
      <c r="W290" s="218"/>
      <c r="X290" s="218"/>
      <c r="Y290" s="218"/>
      <c r="Z290" s="218"/>
      <c r="AA290" s="218"/>
      <c r="AB290" s="218"/>
      <c r="AC290" s="218"/>
      <c r="AD290" s="218"/>
      <c r="AE290" s="218"/>
      <c r="AF290" s="218"/>
      <c r="AG290" s="218"/>
      <c r="AH290" s="218"/>
      <c r="AI290" s="218"/>
      <c r="AJ290" s="218"/>
      <c r="AK290" s="218"/>
      <c r="AL290" s="218"/>
      <c r="AM290" s="218"/>
      <c r="AN290" s="218"/>
      <c r="AO290" s="218"/>
      <c r="AP290" s="218"/>
      <c r="AQ290" s="218"/>
      <c r="AR290" s="218"/>
    </row>
    <row r="291" spans="1:44" ht="26.25" customHeight="1" x14ac:dyDescent="0.3">
      <c r="A291" s="13" t="s">
        <v>24</v>
      </c>
      <c r="B291" s="60"/>
      <c r="C291" s="31"/>
      <c r="D291" s="31"/>
      <c r="E291" s="32"/>
      <c r="F291" s="33"/>
      <c r="G291" s="31"/>
      <c r="H291" s="31"/>
      <c r="I291" s="31"/>
      <c r="J291" s="215"/>
      <c r="K291" s="214"/>
      <c r="L291" s="910" t="s">
        <v>1259</v>
      </c>
      <c r="M291" s="910"/>
      <c r="N291" s="910"/>
      <c r="O291" s="910"/>
      <c r="P291" s="910"/>
      <c r="Q291" s="910"/>
      <c r="R291" s="910"/>
      <c r="S291" s="910"/>
      <c r="T291" s="910"/>
      <c r="U291" s="910"/>
      <c r="V291" s="910"/>
      <c r="W291" s="910"/>
      <c r="X291" s="910"/>
      <c r="Y291" s="910"/>
      <c r="Z291" s="910"/>
      <c r="AA291" s="910"/>
      <c r="AB291" s="910"/>
      <c r="AC291" s="910"/>
      <c r="AD291" s="910"/>
      <c r="AE291" s="910"/>
      <c r="AF291" s="910"/>
      <c r="AG291" s="910"/>
      <c r="AH291" s="910"/>
      <c r="AI291" s="910"/>
      <c r="AJ291" s="910"/>
      <c r="AK291" s="910"/>
      <c r="AL291" s="910"/>
      <c r="AM291" s="910"/>
      <c r="AN291" s="910"/>
      <c r="AO291" s="910"/>
      <c r="AP291" s="910"/>
      <c r="AQ291" s="910"/>
      <c r="AR291" s="910"/>
    </row>
    <row r="292" spans="1:44" ht="4.5" customHeight="1" x14ac:dyDescent="0.3">
      <c r="A292" s="13"/>
      <c r="B292" s="60"/>
      <c r="C292" s="31"/>
      <c r="D292" s="31"/>
      <c r="E292" s="32"/>
      <c r="F292" s="33"/>
      <c r="G292" s="31"/>
      <c r="H292" s="31"/>
      <c r="I292" s="31"/>
      <c r="J292" s="215"/>
      <c r="K292" s="214"/>
      <c r="L292" s="230"/>
      <c r="M292" s="230"/>
      <c r="N292" s="230"/>
      <c r="O292" s="230"/>
      <c r="P292" s="230"/>
      <c r="Q292" s="230"/>
      <c r="R292" s="230"/>
      <c r="S292" s="230"/>
      <c r="T292" s="230"/>
      <c r="U292" s="230"/>
      <c r="V292" s="230"/>
      <c r="W292" s="230"/>
      <c r="X292" s="230"/>
      <c r="Y292" s="230"/>
      <c r="Z292" s="230"/>
      <c r="AA292" s="230"/>
      <c r="AB292" s="230"/>
      <c r="AC292" s="230"/>
      <c r="AD292" s="230"/>
      <c r="AE292" s="230"/>
      <c r="AF292" s="230"/>
      <c r="AG292" s="230"/>
      <c r="AH292" s="230"/>
      <c r="AI292" s="230"/>
      <c r="AJ292" s="230"/>
      <c r="AK292" s="230"/>
      <c r="AL292" s="230"/>
      <c r="AM292" s="230"/>
      <c r="AN292" s="230"/>
      <c r="AO292" s="230"/>
      <c r="AP292" s="230"/>
      <c r="AQ292" s="230"/>
      <c r="AR292" s="218"/>
    </row>
    <row r="293" spans="1:44" x14ac:dyDescent="0.3">
      <c r="A293" s="13" t="s">
        <v>25</v>
      </c>
      <c r="B293" s="60"/>
      <c r="C293" s="31"/>
      <c r="D293" s="31"/>
      <c r="E293" s="34"/>
      <c r="F293" s="31"/>
      <c r="G293" s="31"/>
      <c r="H293" s="31"/>
      <c r="I293" s="31"/>
      <c r="J293" s="215"/>
      <c r="K293" s="214"/>
      <c r="L293" s="910" t="s">
        <v>1260</v>
      </c>
      <c r="M293" s="910"/>
      <c r="N293" s="910"/>
      <c r="O293" s="910"/>
      <c r="P293" s="910"/>
      <c r="Q293" s="910"/>
      <c r="R293" s="910"/>
      <c r="S293" s="910"/>
      <c r="T293" s="910"/>
      <c r="U293" s="910"/>
      <c r="V293" s="910"/>
      <c r="W293" s="910"/>
      <c r="X293" s="910"/>
      <c r="Y293" s="910"/>
      <c r="Z293" s="910"/>
      <c r="AA293" s="910"/>
      <c r="AB293" s="910"/>
      <c r="AC293" s="910"/>
      <c r="AD293" s="910"/>
      <c r="AE293" s="910"/>
      <c r="AF293" s="910"/>
      <c r="AG293" s="910"/>
      <c r="AH293" s="910"/>
      <c r="AI293" s="910"/>
      <c r="AJ293" s="910"/>
      <c r="AK293" s="910"/>
      <c r="AL293" s="910"/>
      <c r="AM293" s="910"/>
      <c r="AN293" s="910"/>
      <c r="AO293" s="910"/>
      <c r="AP293" s="910"/>
      <c r="AQ293" s="910"/>
      <c r="AR293" s="910"/>
    </row>
    <row r="294" spans="1:44" ht="4.5" customHeight="1" x14ac:dyDescent="0.3">
      <c r="A294" s="13"/>
      <c r="B294" s="60"/>
      <c r="C294" s="31"/>
      <c r="D294" s="31"/>
      <c r="E294" s="34"/>
      <c r="F294" s="31"/>
      <c r="G294" s="31"/>
      <c r="H294" s="31"/>
      <c r="I294" s="31"/>
      <c r="J294" s="215"/>
      <c r="K294" s="214"/>
      <c r="L294" s="218"/>
      <c r="M294" s="218"/>
      <c r="N294" s="218"/>
      <c r="O294" s="218"/>
      <c r="P294" s="218"/>
      <c r="Q294" s="218"/>
      <c r="R294" s="218"/>
      <c r="S294" s="218"/>
      <c r="T294" s="218"/>
      <c r="U294" s="218"/>
      <c r="V294" s="218"/>
      <c r="W294" s="218"/>
      <c r="X294" s="218"/>
      <c r="Y294" s="218"/>
      <c r="Z294" s="218"/>
      <c r="AA294" s="218"/>
      <c r="AB294" s="218"/>
      <c r="AC294" s="218"/>
      <c r="AD294" s="218"/>
      <c r="AE294" s="218"/>
      <c r="AF294" s="218"/>
      <c r="AG294" s="218"/>
      <c r="AH294" s="218"/>
      <c r="AI294" s="218"/>
      <c r="AJ294" s="218"/>
      <c r="AK294" s="218"/>
      <c r="AL294" s="218"/>
      <c r="AM294" s="218"/>
      <c r="AN294" s="218"/>
      <c r="AO294" s="218"/>
      <c r="AP294" s="218"/>
      <c r="AQ294" s="218"/>
      <c r="AR294" s="218"/>
    </row>
    <row r="295" spans="1:44" ht="26.25" customHeight="1" x14ac:dyDescent="0.3">
      <c r="A295" s="13" t="s">
        <v>26</v>
      </c>
      <c r="B295" s="60"/>
      <c r="C295" s="31"/>
      <c r="D295" s="31"/>
      <c r="E295" s="32"/>
      <c r="F295" s="33"/>
      <c r="G295" s="31"/>
      <c r="H295" s="31"/>
      <c r="I295" s="31"/>
      <c r="J295" s="215"/>
      <c r="K295" s="214"/>
      <c r="L295" s="910" t="s">
        <v>1247</v>
      </c>
      <c r="M295" s="910"/>
      <c r="N295" s="910"/>
      <c r="O295" s="910"/>
      <c r="P295" s="910"/>
      <c r="Q295" s="910"/>
      <c r="R295" s="910"/>
      <c r="S295" s="910"/>
      <c r="T295" s="910"/>
      <c r="U295" s="910"/>
      <c r="V295" s="910"/>
      <c r="W295" s="910"/>
      <c r="X295" s="910"/>
      <c r="Y295" s="910"/>
      <c r="Z295" s="910"/>
      <c r="AA295" s="910"/>
      <c r="AB295" s="910"/>
      <c r="AC295" s="910"/>
      <c r="AD295" s="910"/>
      <c r="AE295" s="910"/>
      <c r="AF295" s="910"/>
      <c r="AG295" s="910"/>
      <c r="AH295" s="910"/>
      <c r="AI295" s="910"/>
      <c r="AJ295" s="910"/>
      <c r="AK295" s="910"/>
      <c r="AL295" s="910"/>
      <c r="AM295" s="910"/>
      <c r="AN295" s="910"/>
      <c r="AO295" s="910"/>
      <c r="AP295" s="910"/>
      <c r="AQ295" s="910"/>
      <c r="AR295" s="910"/>
    </row>
    <row r="296" spans="1:44" ht="4.5" customHeight="1" x14ac:dyDescent="0.3">
      <c r="A296" s="13"/>
      <c r="B296" s="60"/>
      <c r="C296" s="1"/>
      <c r="D296" s="1"/>
      <c r="E296" s="35"/>
      <c r="F296" s="1"/>
      <c r="G296" s="1"/>
      <c r="H296" s="1"/>
      <c r="I296" s="1"/>
      <c r="J296" s="214"/>
      <c r="K296" s="214"/>
      <c r="L296" s="218"/>
      <c r="M296" s="218"/>
      <c r="N296" s="218"/>
      <c r="O296" s="218"/>
      <c r="P296" s="218"/>
      <c r="Q296" s="218"/>
      <c r="R296" s="218"/>
      <c r="S296" s="218"/>
      <c r="T296" s="218"/>
      <c r="U296" s="218"/>
      <c r="V296" s="218"/>
      <c r="W296" s="218"/>
      <c r="X296" s="218"/>
      <c r="Y296" s="218"/>
      <c r="Z296" s="218"/>
      <c r="AA296" s="218"/>
      <c r="AB296" s="218"/>
      <c r="AC296" s="218"/>
      <c r="AD296" s="218"/>
      <c r="AE296" s="218"/>
      <c r="AF296" s="218"/>
      <c r="AG296" s="218"/>
      <c r="AH296" s="218"/>
      <c r="AI296" s="218"/>
      <c r="AJ296" s="218"/>
      <c r="AK296" s="218"/>
      <c r="AL296" s="218"/>
      <c r="AM296" s="218"/>
      <c r="AN296" s="218"/>
      <c r="AO296" s="218"/>
      <c r="AP296" s="218"/>
      <c r="AQ296" s="218"/>
      <c r="AR296" s="218"/>
    </row>
    <row r="297" spans="1:44" x14ac:dyDescent="0.3">
      <c r="A297" s="13" t="s">
        <v>27</v>
      </c>
      <c r="B297" s="60"/>
      <c r="C297" s="1"/>
      <c r="D297" s="1"/>
      <c r="E297" s="11"/>
      <c r="F297" s="3"/>
      <c r="G297" s="1"/>
      <c r="H297" s="1"/>
      <c r="I297" s="1"/>
      <c r="J297" s="214"/>
      <c r="K297" s="214"/>
      <c r="L297" s="910" t="s">
        <v>1248</v>
      </c>
      <c r="M297" s="910"/>
      <c r="N297" s="910"/>
      <c r="O297" s="910"/>
      <c r="P297" s="910"/>
      <c r="Q297" s="910"/>
      <c r="R297" s="910"/>
      <c r="S297" s="910"/>
      <c r="T297" s="910"/>
      <c r="U297" s="910"/>
      <c r="V297" s="910"/>
      <c r="W297" s="910"/>
      <c r="X297" s="910"/>
      <c r="Y297" s="910"/>
      <c r="Z297" s="910"/>
      <c r="AA297" s="910"/>
      <c r="AB297" s="910"/>
      <c r="AC297" s="910"/>
      <c r="AD297" s="910"/>
      <c r="AE297" s="910"/>
      <c r="AF297" s="910"/>
      <c r="AG297" s="910"/>
      <c r="AH297" s="910"/>
      <c r="AI297" s="910"/>
      <c r="AJ297" s="910"/>
      <c r="AK297" s="910"/>
      <c r="AL297" s="910"/>
      <c r="AM297" s="910"/>
      <c r="AN297" s="910"/>
      <c r="AO297" s="910"/>
      <c r="AP297" s="910"/>
      <c r="AQ297" s="910"/>
      <c r="AR297" s="910"/>
    </row>
    <row r="298" spans="1:44" ht="4.5" customHeight="1" x14ac:dyDescent="0.3">
      <c r="A298" s="13"/>
      <c r="B298" s="60"/>
      <c r="C298" s="1"/>
      <c r="D298" s="1"/>
      <c r="E298" s="11"/>
      <c r="F298" s="1"/>
      <c r="G298" s="1"/>
      <c r="H298" s="1"/>
      <c r="I298" s="1"/>
      <c r="J298" s="214"/>
      <c r="K298" s="214"/>
      <c r="L298" s="218"/>
      <c r="M298" s="218"/>
      <c r="N298" s="218"/>
      <c r="O298" s="218"/>
      <c r="P298" s="218"/>
      <c r="Q298" s="218"/>
      <c r="R298" s="218"/>
      <c r="S298" s="218"/>
      <c r="T298" s="218"/>
      <c r="U298" s="218"/>
      <c r="V298" s="218"/>
      <c r="W298" s="218"/>
      <c r="X298" s="218"/>
      <c r="Y298" s="218"/>
      <c r="Z298" s="218"/>
      <c r="AA298" s="218"/>
      <c r="AB298" s="218"/>
      <c r="AC298" s="218"/>
      <c r="AD298" s="218"/>
      <c r="AE298" s="218"/>
      <c r="AF298" s="218"/>
      <c r="AG298" s="218"/>
      <c r="AH298" s="218"/>
      <c r="AI298" s="218"/>
      <c r="AJ298" s="218"/>
      <c r="AK298" s="218"/>
      <c r="AL298" s="218"/>
      <c r="AM298" s="218"/>
      <c r="AN298" s="218"/>
      <c r="AO298" s="218"/>
      <c r="AP298" s="218"/>
      <c r="AQ298" s="218"/>
      <c r="AR298" s="218"/>
    </row>
    <row r="299" spans="1:44" x14ac:dyDescent="0.3">
      <c r="A299" s="13"/>
      <c r="B299" s="60"/>
      <c r="C299" s="39"/>
      <c r="D299" s="39"/>
      <c r="E299" s="48" t="s">
        <v>700</v>
      </c>
      <c r="G299" s="39"/>
      <c r="H299" s="39"/>
      <c r="I299" s="39"/>
      <c r="J299" s="706" t="str">
        <f>IF(calculations!M75,"describe corrective action proposed to correct any Red Flag or Yellow Flag ranking",IF(calculations!N75,"describe corrective action proposed to correct any Red Flag or Yellow Flag ranking",""))</f>
        <v/>
      </c>
      <c r="K299" s="707"/>
      <c r="L299" s="707"/>
      <c r="M299" s="707"/>
      <c r="N299" s="707"/>
      <c r="O299" s="707"/>
      <c r="P299" s="707"/>
      <c r="Q299" s="707"/>
      <c r="R299" s="707"/>
      <c r="S299" s="707"/>
      <c r="T299" s="707"/>
      <c r="U299" s="707"/>
      <c r="V299" s="707"/>
      <c r="W299" s="707"/>
      <c r="X299" s="707"/>
      <c r="Y299" s="707"/>
      <c r="Z299" s="707"/>
      <c r="AA299" s="707"/>
      <c r="AB299" s="707"/>
      <c r="AC299" s="707"/>
      <c r="AD299" s="707"/>
      <c r="AE299" s="707"/>
      <c r="AF299" s="707"/>
      <c r="AG299" s="707"/>
      <c r="AH299" s="707"/>
      <c r="AI299" s="707"/>
      <c r="AJ299" s="707"/>
      <c r="AK299" s="707"/>
      <c r="AL299" s="707"/>
      <c r="AM299" s="707"/>
      <c r="AN299" s="707"/>
      <c r="AO299" s="707"/>
      <c r="AP299" s="707"/>
      <c r="AQ299" s="707"/>
      <c r="AR299" s="708"/>
    </row>
    <row r="300" spans="1:44" s="1" customFormat="1" ht="4.5" customHeight="1" x14ac:dyDescent="0.3">
      <c r="A300" s="13"/>
      <c r="B300" s="104"/>
      <c r="C300" s="39"/>
      <c r="D300" s="39"/>
      <c r="E300" s="48"/>
      <c r="G300" s="39"/>
      <c r="H300" s="39"/>
      <c r="I300" s="39"/>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row>
    <row r="301" spans="1:44" ht="27" customHeight="1" x14ac:dyDescent="0.3">
      <c r="A301" s="13"/>
      <c r="B301" s="60"/>
      <c r="C301" s="39"/>
      <c r="D301" s="39"/>
      <c r="E301" s="55" t="str">
        <f>IF(J301&gt;"","OFE","")</f>
        <v/>
      </c>
      <c r="G301" s="38"/>
      <c r="H301" s="1"/>
      <c r="I301" s="1"/>
      <c r="J301" s="724" t="str">
        <f>IF(START!A9=1,IF(calculations!M75,CONCATENATE("OFE:  ",Rec!E117),IF(calculations!N75,CONCATENATE("OFE:  ",Rec!E118),"")),"")</f>
        <v/>
      </c>
      <c r="K301" s="725"/>
      <c r="L301" s="725"/>
      <c r="M301" s="725"/>
      <c r="N301" s="725"/>
      <c r="O301" s="725"/>
      <c r="P301" s="725"/>
      <c r="Q301" s="725"/>
      <c r="R301" s="725"/>
      <c r="S301" s="725"/>
      <c r="T301" s="725"/>
      <c r="U301" s="725"/>
      <c r="V301" s="725"/>
      <c r="W301" s="725"/>
      <c r="X301" s="725"/>
      <c r="Y301" s="725"/>
      <c r="Z301" s="725"/>
      <c r="AA301" s="725"/>
      <c r="AB301" s="725"/>
      <c r="AC301" s="725"/>
      <c r="AD301" s="725"/>
      <c r="AE301" s="725"/>
      <c r="AF301" s="725"/>
      <c r="AG301" s="725"/>
      <c r="AH301" s="725"/>
      <c r="AI301" s="725"/>
      <c r="AJ301" s="725"/>
      <c r="AK301" s="725"/>
      <c r="AL301" s="725"/>
      <c r="AM301" s="725"/>
      <c r="AN301" s="725"/>
      <c r="AO301" s="725"/>
      <c r="AP301" s="725"/>
      <c r="AQ301" s="725"/>
      <c r="AR301" s="726"/>
    </row>
    <row r="302" spans="1:44" x14ac:dyDescent="0.3">
      <c r="A302" s="13"/>
      <c r="B302" s="60"/>
      <c r="C302" s="39"/>
      <c r="D302" s="39"/>
      <c r="E302" s="44"/>
      <c r="F302" s="37"/>
      <c r="G302" s="39"/>
      <c r="H302" s="39"/>
      <c r="I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4.15" x14ac:dyDescent="0.35">
      <c r="A303" s="232" t="s">
        <v>863</v>
      </c>
      <c r="B303" s="60"/>
      <c r="C303" s="39"/>
      <c r="D303" s="47" t="s">
        <v>28</v>
      </c>
      <c r="E303" s="44"/>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4.5" customHeight="1" x14ac:dyDescent="0.3">
      <c r="A304" s="13"/>
      <c r="B304" s="60"/>
      <c r="C304" s="1"/>
      <c r="D304" s="1"/>
      <c r="E304" s="11"/>
      <c r="F304" s="1"/>
      <c r="G304" s="1"/>
      <c r="H304" s="1"/>
      <c r="I304" s="1"/>
      <c r="J304" s="1"/>
      <c r="K304" s="1"/>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26.25" customHeight="1" x14ac:dyDescent="0.3">
      <c r="A305" s="13" t="s">
        <v>29</v>
      </c>
      <c r="B305" s="60"/>
      <c r="C305" s="31"/>
      <c r="D305" s="31"/>
      <c r="E305" s="32"/>
      <c r="F305" s="33"/>
      <c r="G305" s="31"/>
      <c r="H305" s="31"/>
      <c r="I305" s="31"/>
      <c r="J305" s="215"/>
      <c r="K305" s="214"/>
      <c r="L305" s="910" t="s">
        <v>1261</v>
      </c>
      <c r="M305" s="910"/>
      <c r="N305" s="910"/>
      <c r="O305" s="910"/>
      <c r="P305" s="910"/>
      <c r="Q305" s="910"/>
      <c r="R305" s="910"/>
      <c r="S305" s="910"/>
      <c r="T305" s="910"/>
      <c r="U305" s="910"/>
      <c r="V305" s="910"/>
      <c r="W305" s="910"/>
      <c r="X305" s="910"/>
      <c r="Y305" s="910"/>
      <c r="Z305" s="910"/>
      <c r="AA305" s="910"/>
      <c r="AB305" s="910"/>
      <c r="AC305" s="910"/>
      <c r="AD305" s="910"/>
      <c r="AE305" s="910"/>
      <c r="AF305" s="910"/>
      <c r="AG305" s="910"/>
      <c r="AH305" s="910"/>
      <c r="AI305" s="910"/>
      <c r="AJ305" s="910"/>
      <c r="AK305" s="910"/>
      <c r="AL305" s="910"/>
      <c r="AM305" s="910"/>
      <c r="AN305" s="910"/>
      <c r="AO305" s="910"/>
      <c r="AP305" s="910"/>
      <c r="AQ305" s="910"/>
      <c r="AR305" s="910"/>
    </row>
    <row r="306" spans="1:44" ht="4.5" customHeight="1" x14ac:dyDescent="0.3">
      <c r="A306" s="13"/>
      <c r="B306" s="60"/>
      <c r="C306" s="31"/>
      <c r="D306" s="31"/>
      <c r="E306" s="34"/>
      <c r="F306" s="31"/>
      <c r="G306" s="31"/>
      <c r="H306" s="31"/>
      <c r="I306" s="31"/>
      <c r="J306" s="215"/>
      <c r="K306" s="214"/>
      <c r="L306" s="218"/>
      <c r="M306" s="218"/>
      <c r="N306" s="218"/>
      <c r="O306" s="218"/>
      <c r="P306" s="218"/>
      <c r="Q306" s="218"/>
      <c r="R306" s="218"/>
      <c r="S306" s="218"/>
      <c r="T306" s="218"/>
      <c r="U306" s="218"/>
      <c r="V306" s="218"/>
      <c r="W306" s="218"/>
      <c r="X306" s="218"/>
      <c r="Y306" s="218"/>
      <c r="Z306" s="218"/>
      <c r="AA306" s="218"/>
      <c r="AB306" s="218"/>
      <c r="AC306" s="218"/>
      <c r="AD306" s="218"/>
      <c r="AE306" s="218"/>
      <c r="AF306" s="218"/>
      <c r="AG306" s="218"/>
      <c r="AH306" s="218"/>
      <c r="AI306" s="218"/>
      <c r="AJ306" s="218"/>
      <c r="AK306" s="218"/>
      <c r="AL306" s="218"/>
      <c r="AM306" s="218"/>
      <c r="AN306" s="218"/>
      <c r="AO306" s="218"/>
      <c r="AP306" s="218"/>
      <c r="AQ306" s="218"/>
      <c r="AR306" s="218"/>
    </row>
    <row r="307" spans="1:44" x14ac:dyDescent="0.3">
      <c r="A307" s="13" t="s">
        <v>30</v>
      </c>
      <c r="B307" s="60"/>
      <c r="C307" s="31"/>
      <c r="D307" s="31"/>
      <c r="E307" s="32"/>
      <c r="F307" s="33"/>
      <c r="G307" s="31"/>
      <c r="H307" s="31"/>
      <c r="I307" s="31"/>
      <c r="J307" s="215"/>
      <c r="K307" s="214"/>
      <c r="L307" s="910" t="s">
        <v>1262</v>
      </c>
      <c r="M307" s="910"/>
      <c r="N307" s="910"/>
      <c r="O307" s="910"/>
      <c r="P307" s="910"/>
      <c r="Q307" s="910"/>
      <c r="R307" s="910"/>
      <c r="S307" s="910"/>
      <c r="T307" s="910"/>
      <c r="U307" s="910"/>
      <c r="V307" s="910"/>
      <c r="W307" s="910"/>
      <c r="X307" s="910"/>
      <c r="Y307" s="910"/>
      <c r="Z307" s="910"/>
      <c r="AA307" s="910"/>
      <c r="AB307" s="910"/>
      <c r="AC307" s="910"/>
      <c r="AD307" s="910"/>
      <c r="AE307" s="910"/>
      <c r="AF307" s="910"/>
      <c r="AG307" s="910"/>
      <c r="AH307" s="910"/>
      <c r="AI307" s="910"/>
      <c r="AJ307" s="910"/>
      <c r="AK307" s="910"/>
      <c r="AL307" s="910"/>
      <c r="AM307" s="910"/>
      <c r="AN307" s="910"/>
      <c r="AO307" s="910"/>
      <c r="AP307" s="910"/>
      <c r="AQ307" s="910"/>
      <c r="AR307" s="910"/>
    </row>
    <row r="308" spans="1:44" ht="4.5" customHeight="1" x14ac:dyDescent="0.3">
      <c r="A308" s="13"/>
      <c r="B308" s="60"/>
      <c r="C308" s="31"/>
      <c r="D308" s="31"/>
      <c r="E308" s="32"/>
      <c r="F308" s="33"/>
      <c r="G308" s="31"/>
      <c r="H308" s="31"/>
      <c r="I308" s="31"/>
      <c r="J308" s="215"/>
      <c r="K308" s="214"/>
      <c r="L308" s="218"/>
      <c r="M308" s="218"/>
      <c r="N308" s="218"/>
      <c r="O308" s="218"/>
      <c r="P308" s="218"/>
      <c r="Q308" s="218"/>
      <c r="R308" s="218"/>
      <c r="S308" s="218"/>
      <c r="T308" s="218"/>
      <c r="U308" s="218"/>
      <c r="V308" s="218"/>
      <c r="W308" s="218"/>
      <c r="X308" s="218"/>
      <c r="Y308" s="218"/>
      <c r="Z308" s="218"/>
      <c r="AA308" s="218"/>
      <c r="AB308" s="218"/>
      <c r="AC308" s="218"/>
      <c r="AD308" s="218"/>
      <c r="AE308" s="218"/>
      <c r="AF308" s="218"/>
      <c r="AG308" s="218"/>
      <c r="AH308" s="218"/>
      <c r="AI308" s="218"/>
      <c r="AJ308" s="218"/>
      <c r="AK308" s="218"/>
      <c r="AL308" s="218"/>
      <c r="AM308" s="218"/>
      <c r="AN308" s="218"/>
      <c r="AO308" s="218"/>
      <c r="AP308" s="218"/>
      <c r="AQ308" s="218"/>
      <c r="AR308" s="218"/>
    </row>
    <row r="309" spans="1:44" ht="26.25" customHeight="1" x14ac:dyDescent="0.3">
      <c r="A309" s="13" t="s">
        <v>31</v>
      </c>
      <c r="B309" s="60"/>
      <c r="C309" s="31"/>
      <c r="D309" s="31"/>
      <c r="E309" s="34"/>
      <c r="F309" s="31"/>
      <c r="G309" s="31"/>
      <c r="H309" s="31"/>
      <c r="I309" s="31"/>
      <c r="J309" s="215"/>
      <c r="K309" s="214"/>
      <c r="L309" s="910" t="s">
        <v>1249</v>
      </c>
      <c r="M309" s="910"/>
      <c r="N309" s="910"/>
      <c r="O309" s="910"/>
      <c r="P309" s="910"/>
      <c r="Q309" s="910"/>
      <c r="R309" s="910"/>
      <c r="S309" s="910"/>
      <c r="T309" s="910"/>
      <c r="U309" s="910"/>
      <c r="V309" s="910"/>
      <c r="W309" s="910"/>
      <c r="X309" s="910"/>
      <c r="Y309" s="910"/>
      <c r="Z309" s="910"/>
      <c r="AA309" s="910"/>
      <c r="AB309" s="910"/>
      <c r="AC309" s="910"/>
      <c r="AD309" s="910"/>
      <c r="AE309" s="910"/>
      <c r="AF309" s="910"/>
      <c r="AG309" s="910"/>
      <c r="AH309" s="910"/>
      <c r="AI309" s="910"/>
      <c r="AJ309" s="910"/>
      <c r="AK309" s="910"/>
      <c r="AL309" s="910"/>
      <c r="AM309" s="910"/>
      <c r="AN309" s="910"/>
      <c r="AO309" s="910"/>
      <c r="AP309" s="910"/>
      <c r="AQ309" s="910"/>
      <c r="AR309" s="910"/>
    </row>
    <row r="310" spans="1:44" ht="4.5" customHeight="1" x14ac:dyDescent="0.3">
      <c r="A310" s="13"/>
      <c r="B310" s="60"/>
      <c r="C310" s="31"/>
      <c r="D310" s="31"/>
      <c r="E310" s="34"/>
      <c r="F310" s="31"/>
      <c r="G310" s="31"/>
      <c r="H310" s="31"/>
      <c r="I310" s="31"/>
      <c r="J310" s="215"/>
      <c r="K310" s="214"/>
      <c r="L310" s="218"/>
      <c r="M310" s="218"/>
      <c r="N310" s="218"/>
      <c r="O310" s="218"/>
      <c r="P310" s="218"/>
      <c r="Q310" s="218"/>
      <c r="R310" s="218"/>
      <c r="S310" s="218"/>
      <c r="T310" s="218"/>
      <c r="U310" s="218"/>
      <c r="V310" s="218"/>
      <c r="W310" s="218"/>
      <c r="X310" s="218"/>
      <c r="Y310" s="218"/>
      <c r="Z310" s="218"/>
      <c r="AA310" s="218"/>
      <c r="AB310" s="218"/>
      <c r="AC310" s="218"/>
      <c r="AD310" s="218"/>
      <c r="AE310" s="218"/>
      <c r="AF310" s="218"/>
      <c r="AG310" s="218"/>
      <c r="AH310" s="218"/>
      <c r="AI310" s="218"/>
      <c r="AJ310" s="218"/>
      <c r="AK310" s="218"/>
      <c r="AL310" s="218"/>
      <c r="AM310" s="218"/>
      <c r="AN310" s="218"/>
      <c r="AO310" s="218"/>
      <c r="AP310" s="218"/>
      <c r="AQ310" s="218"/>
      <c r="AR310" s="218"/>
    </row>
    <row r="311" spans="1:44" x14ac:dyDescent="0.3">
      <c r="A311" s="13" t="s">
        <v>32</v>
      </c>
      <c r="B311" s="60"/>
      <c r="C311" s="31"/>
      <c r="D311" s="31"/>
      <c r="E311" s="32"/>
      <c r="F311" s="33"/>
      <c r="G311" s="31"/>
      <c r="H311" s="31"/>
      <c r="I311" s="31"/>
      <c r="J311" s="215"/>
      <c r="K311" s="214"/>
      <c r="L311" s="910" t="s">
        <v>1250</v>
      </c>
      <c r="M311" s="910"/>
      <c r="N311" s="910"/>
      <c r="O311" s="910"/>
      <c r="P311" s="910"/>
      <c r="Q311" s="910"/>
      <c r="R311" s="910"/>
      <c r="S311" s="910"/>
      <c r="T311" s="910"/>
      <c r="U311" s="910"/>
      <c r="V311" s="910"/>
      <c r="W311" s="910"/>
      <c r="X311" s="910"/>
      <c r="Y311" s="910"/>
      <c r="Z311" s="910"/>
      <c r="AA311" s="910"/>
      <c r="AB311" s="910"/>
      <c r="AC311" s="910"/>
      <c r="AD311" s="910"/>
      <c r="AE311" s="910"/>
      <c r="AF311" s="910"/>
      <c r="AG311" s="910"/>
      <c r="AH311" s="910"/>
      <c r="AI311" s="910"/>
      <c r="AJ311" s="910"/>
      <c r="AK311" s="910"/>
      <c r="AL311" s="910"/>
      <c r="AM311" s="910"/>
      <c r="AN311" s="910"/>
      <c r="AO311" s="910"/>
      <c r="AP311" s="910"/>
      <c r="AQ311" s="910"/>
      <c r="AR311" s="910"/>
    </row>
    <row r="312" spans="1:44" ht="4.5" customHeight="1" x14ac:dyDescent="0.3">
      <c r="A312" s="13"/>
      <c r="B312" s="60"/>
      <c r="C312" s="1"/>
      <c r="D312" s="1"/>
      <c r="E312" s="35"/>
      <c r="F312" s="1"/>
      <c r="G312" s="1"/>
      <c r="H312" s="1"/>
      <c r="I312" s="1"/>
      <c r="J312" s="214"/>
      <c r="K312" s="214"/>
      <c r="L312" s="218"/>
      <c r="M312" s="218"/>
      <c r="N312" s="218"/>
      <c r="O312" s="218"/>
      <c r="P312" s="218"/>
      <c r="Q312" s="218"/>
      <c r="R312" s="218"/>
      <c r="S312" s="218"/>
      <c r="T312" s="218"/>
      <c r="U312" s="218"/>
      <c r="V312" s="218"/>
      <c r="W312" s="218"/>
      <c r="X312" s="218"/>
      <c r="Y312" s="218"/>
      <c r="Z312" s="218"/>
      <c r="AA312" s="218"/>
      <c r="AB312" s="218"/>
      <c r="AC312" s="218"/>
      <c r="AD312" s="218"/>
      <c r="AE312" s="218"/>
      <c r="AF312" s="218"/>
      <c r="AG312" s="218"/>
      <c r="AH312" s="218"/>
      <c r="AI312" s="218"/>
      <c r="AJ312" s="218"/>
      <c r="AK312" s="218"/>
      <c r="AL312" s="218"/>
      <c r="AM312" s="218"/>
      <c r="AN312" s="218"/>
      <c r="AO312" s="218"/>
      <c r="AP312" s="218"/>
      <c r="AQ312" s="218"/>
      <c r="AR312" s="218"/>
    </row>
    <row r="313" spans="1:44" x14ac:dyDescent="0.3">
      <c r="A313" s="13" t="s">
        <v>33</v>
      </c>
      <c r="B313" s="60"/>
      <c r="C313" s="1"/>
      <c r="D313" s="1"/>
      <c r="E313" s="11"/>
      <c r="F313" s="3"/>
      <c r="G313" s="1"/>
      <c r="H313" s="1"/>
      <c r="I313" s="1"/>
      <c r="J313" s="214"/>
      <c r="K313" s="214"/>
      <c r="L313" s="910" t="s">
        <v>1251</v>
      </c>
      <c r="M313" s="910"/>
      <c r="N313" s="910"/>
      <c r="O313" s="910"/>
      <c r="P313" s="910"/>
      <c r="Q313" s="910"/>
      <c r="R313" s="910"/>
      <c r="S313" s="910"/>
      <c r="T313" s="910"/>
      <c r="U313" s="910"/>
      <c r="V313" s="910"/>
      <c r="W313" s="910"/>
      <c r="X313" s="910"/>
      <c r="Y313" s="910"/>
      <c r="Z313" s="910"/>
      <c r="AA313" s="910"/>
      <c r="AB313" s="910"/>
      <c r="AC313" s="910"/>
      <c r="AD313" s="910"/>
      <c r="AE313" s="910"/>
      <c r="AF313" s="910"/>
      <c r="AG313" s="910"/>
      <c r="AH313" s="910"/>
      <c r="AI313" s="910"/>
      <c r="AJ313" s="910"/>
      <c r="AK313" s="910"/>
      <c r="AL313" s="910"/>
      <c r="AM313" s="910"/>
      <c r="AN313" s="910"/>
      <c r="AO313" s="910"/>
      <c r="AP313" s="910"/>
      <c r="AQ313" s="910"/>
      <c r="AR313" s="910"/>
    </row>
    <row r="314" spans="1:44" ht="4.5" customHeight="1" x14ac:dyDescent="0.3">
      <c r="A314" s="13"/>
      <c r="B314" s="60"/>
      <c r="C314" s="1"/>
      <c r="D314" s="1"/>
      <c r="E314" s="11"/>
      <c r="F314" s="1"/>
      <c r="G314" s="1"/>
      <c r="H314" s="1"/>
      <c r="I314" s="1"/>
      <c r="J314" s="214"/>
      <c r="K314" s="214"/>
      <c r="L314" s="218"/>
      <c r="M314" s="218"/>
      <c r="N314" s="218"/>
      <c r="O314" s="218"/>
      <c r="P314" s="218"/>
      <c r="Q314" s="218"/>
      <c r="R314" s="218"/>
      <c r="S314" s="218"/>
      <c r="T314" s="218"/>
      <c r="U314" s="218"/>
      <c r="V314" s="218"/>
      <c r="W314" s="218"/>
      <c r="X314" s="218"/>
      <c r="Y314" s="218"/>
      <c r="Z314" s="218"/>
      <c r="AA314" s="218"/>
      <c r="AB314" s="218"/>
      <c r="AC314" s="218"/>
      <c r="AD314" s="218"/>
      <c r="AE314" s="218"/>
      <c r="AF314" s="218"/>
      <c r="AG314" s="218"/>
      <c r="AH314" s="218"/>
      <c r="AI314" s="218"/>
      <c r="AJ314" s="218"/>
      <c r="AK314" s="218"/>
      <c r="AL314" s="218"/>
      <c r="AM314" s="218"/>
      <c r="AN314" s="218"/>
      <c r="AO314" s="218"/>
      <c r="AP314" s="218"/>
      <c r="AQ314" s="218"/>
      <c r="AR314" s="218"/>
    </row>
    <row r="315" spans="1:44" x14ac:dyDescent="0.3">
      <c r="A315" s="13"/>
      <c r="B315" s="60"/>
      <c r="C315" s="39"/>
      <c r="D315" s="39"/>
      <c r="E315" s="48" t="s">
        <v>700</v>
      </c>
      <c r="G315" s="39"/>
      <c r="H315" s="39"/>
      <c r="I315" s="39"/>
      <c r="J315" s="706" t="str">
        <f>IF(calculations!M76,"describe corrective action proposed to correct any Red Flag or Yellow Flag ranking",IF(calculations!N76,"describe corrective action proposed to correct any Red Flag or Yellow Flag ranking",""))</f>
        <v/>
      </c>
      <c r="K315" s="707"/>
      <c r="L315" s="707"/>
      <c r="M315" s="707"/>
      <c r="N315" s="707"/>
      <c r="O315" s="707"/>
      <c r="P315" s="707"/>
      <c r="Q315" s="707"/>
      <c r="R315" s="707"/>
      <c r="S315" s="707"/>
      <c r="T315" s="707"/>
      <c r="U315" s="707"/>
      <c r="V315" s="707"/>
      <c r="W315" s="707"/>
      <c r="X315" s="707"/>
      <c r="Y315" s="707"/>
      <c r="Z315" s="707"/>
      <c r="AA315" s="707"/>
      <c r="AB315" s="707"/>
      <c r="AC315" s="707"/>
      <c r="AD315" s="707"/>
      <c r="AE315" s="707"/>
      <c r="AF315" s="707"/>
      <c r="AG315" s="707"/>
      <c r="AH315" s="707"/>
      <c r="AI315" s="707"/>
      <c r="AJ315" s="707"/>
      <c r="AK315" s="707"/>
      <c r="AL315" s="707"/>
      <c r="AM315" s="707"/>
      <c r="AN315" s="707"/>
      <c r="AO315" s="707"/>
      <c r="AP315" s="707"/>
      <c r="AQ315" s="707"/>
      <c r="AR315" s="708"/>
    </row>
    <row r="316" spans="1:44" s="1" customFormat="1" ht="4.5" customHeight="1" x14ac:dyDescent="0.3">
      <c r="A316" s="13"/>
      <c r="B316" s="104"/>
      <c r="C316" s="39"/>
      <c r="D316" s="39"/>
      <c r="E316" s="48"/>
      <c r="G316" s="39"/>
      <c r="H316" s="39"/>
      <c r="I316" s="39"/>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row>
    <row r="317" spans="1:44" ht="24.75" customHeight="1" x14ac:dyDescent="0.3">
      <c r="A317" s="13"/>
      <c r="B317" s="60"/>
      <c r="C317" s="39"/>
      <c r="D317" s="39"/>
      <c r="E317" s="55" t="str">
        <f>IF(J317&gt;"","OFE","")</f>
        <v/>
      </c>
      <c r="G317" s="38"/>
      <c r="H317" s="1"/>
      <c r="I317" s="1"/>
      <c r="J317" s="724" t="str">
        <f>IF(START!A9=1,IF(calculations!M76,CONCATENATE("OFE:  ",Rec!E119),IF(calculations!N76,CONCATENATE("OFE:  ",Rec!E120),"")),"")</f>
        <v/>
      </c>
      <c r="K317" s="725"/>
      <c r="L317" s="725"/>
      <c r="M317" s="725"/>
      <c r="N317" s="725"/>
      <c r="O317" s="725"/>
      <c r="P317" s="725"/>
      <c r="Q317" s="725"/>
      <c r="R317" s="725"/>
      <c r="S317" s="725"/>
      <c r="T317" s="725"/>
      <c r="U317" s="725"/>
      <c r="V317" s="725"/>
      <c r="W317" s="725"/>
      <c r="X317" s="725"/>
      <c r="Y317" s="725"/>
      <c r="Z317" s="725"/>
      <c r="AA317" s="725"/>
      <c r="AB317" s="725"/>
      <c r="AC317" s="725"/>
      <c r="AD317" s="725"/>
      <c r="AE317" s="725"/>
      <c r="AF317" s="725"/>
      <c r="AG317" s="725"/>
      <c r="AH317" s="725"/>
      <c r="AI317" s="725"/>
      <c r="AJ317" s="725"/>
      <c r="AK317" s="725"/>
      <c r="AL317" s="725"/>
      <c r="AM317" s="725"/>
      <c r="AN317" s="725"/>
      <c r="AO317" s="725"/>
      <c r="AP317" s="725"/>
      <c r="AQ317" s="725"/>
      <c r="AR317" s="726"/>
    </row>
    <row r="318" spans="1:44" x14ac:dyDescent="0.3">
      <c r="A318" s="13"/>
      <c r="B318" s="60"/>
      <c r="C318" s="39"/>
      <c r="D318" s="39"/>
      <c r="E318" s="44"/>
      <c r="F318" s="37"/>
      <c r="G318" s="39"/>
      <c r="H318" s="39"/>
      <c r="I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4.15" x14ac:dyDescent="0.35">
      <c r="A319" s="637" t="s">
        <v>864</v>
      </c>
      <c r="B319" s="60"/>
      <c r="C319" s="39"/>
      <c r="D319" s="47" t="s">
        <v>34</v>
      </c>
      <c r="E319" s="44"/>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4.5" customHeight="1" x14ac:dyDescent="0.3">
      <c r="A320" s="13"/>
      <c r="B320" s="60"/>
      <c r="C320" s="1"/>
      <c r="D320" s="1"/>
      <c r="E320" s="11"/>
      <c r="F320" s="1"/>
      <c r="G320" s="1"/>
      <c r="H320" s="1"/>
      <c r="I320" s="1"/>
      <c r="J320" s="1"/>
      <c r="K320" s="1"/>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38.25" customHeight="1" x14ac:dyDescent="0.3">
      <c r="A321" s="13" t="s">
        <v>35</v>
      </c>
      <c r="B321" s="60"/>
      <c r="C321" s="31"/>
      <c r="D321" s="31"/>
      <c r="E321" s="32"/>
      <c r="F321" s="33"/>
      <c r="G321" s="31"/>
      <c r="H321" s="31"/>
      <c r="I321" s="31"/>
      <c r="J321" s="215"/>
      <c r="K321" s="214"/>
      <c r="L321" s="910" t="s">
        <v>1263</v>
      </c>
      <c r="M321" s="910"/>
      <c r="N321" s="910"/>
      <c r="O321" s="910"/>
      <c r="P321" s="910"/>
      <c r="Q321" s="910"/>
      <c r="R321" s="910"/>
      <c r="S321" s="910"/>
      <c r="T321" s="910"/>
      <c r="U321" s="910"/>
      <c r="V321" s="910"/>
      <c r="W321" s="910"/>
      <c r="X321" s="910"/>
      <c r="Y321" s="910"/>
      <c r="Z321" s="910"/>
      <c r="AA321" s="910"/>
      <c r="AB321" s="910"/>
      <c r="AC321" s="910"/>
      <c r="AD321" s="910"/>
      <c r="AE321" s="910"/>
      <c r="AF321" s="910"/>
      <c r="AG321" s="910"/>
      <c r="AH321" s="910"/>
      <c r="AI321" s="910"/>
      <c r="AJ321" s="910"/>
      <c r="AK321" s="910"/>
      <c r="AL321" s="910"/>
      <c r="AM321" s="910"/>
      <c r="AN321" s="910"/>
      <c r="AO321" s="910"/>
      <c r="AP321" s="910"/>
      <c r="AQ321" s="910"/>
      <c r="AR321" s="910"/>
    </row>
    <row r="322" spans="1:44" ht="4.5" customHeight="1" x14ac:dyDescent="0.3">
      <c r="A322" s="13"/>
      <c r="B322" s="60"/>
      <c r="C322" s="31"/>
      <c r="D322" s="31"/>
      <c r="E322" s="34"/>
      <c r="F322" s="31"/>
      <c r="G322" s="31"/>
      <c r="H322" s="31"/>
      <c r="I322" s="31"/>
      <c r="J322" s="215"/>
      <c r="K322" s="214"/>
      <c r="L322" s="218"/>
      <c r="M322" s="218"/>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c r="AL322" s="218"/>
      <c r="AM322" s="218"/>
      <c r="AN322" s="218"/>
      <c r="AO322" s="218"/>
      <c r="AP322" s="218"/>
      <c r="AQ322" s="218"/>
      <c r="AR322" s="218"/>
    </row>
    <row r="323" spans="1:44" ht="25.5" customHeight="1" x14ac:dyDescent="0.3">
      <c r="A323" s="13" t="s">
        <v>36</v>
      </c>
      <c r="B323" s="60"/>
      <c r="C323" s="31"/>
      <c r="D323" s="31"/>
      <c r="E323" s="32"/>
      <c r="F323" s="33"/>
      <c r="G323" s="31"/>
      <c r="H323" s="31"/>
      <c r="I323" s="31"/>
      <c r="J323" s="215"/>
      <c r="K323" s="214"/>
      <c r="L323" s="910" t="str">
        <f>IF(calculations!B3=1,"GOLD MEDAL with a safety committee that meets at least quarterly, establishes safety goals for the organization, and provides safety training.","GOLD MEDAL with a safety committee that meets at least quarterly, establishes safety goals for the association, and provides safety training.")</f>
        <v>GOLD MEDAL with a safety committee that meets at least quarterly, establishes safety goals for the association, and provides safety training.</v>
      </c>
      <c r="M323" s="910"/>
      <c r="N323" s="910"/>
      <c r="O323" s="910"/>
      <c r="P323" s="910"/>
      <c r="Q323" s="910"/>
      <c r="R323" s="910"/>
      <c r="S323" s="910"/>
      <c r="T323" s="910"/>
      <c r="U323" s="910"/>
      <c r="V323" s="910"/>
      <c r="W323" s="910"/>
      <c r="X323" s="910"/>
      <c r="Y323" s="910"/>
      <c r="Z323" s="910"/>
      <c r="AA323" s="910"/>
      <c r="AB323" s="910"/>
      <c r="AC323" s="910"/>
      <c r="AD323" s="910"/>
      <c r="AE323" s="910"/>
      <c r="AF323" s="910"/>
      <c r="AG323" s="910"/>
      <c r="AH323" s="910"/>
      <c r="AI323" s="910"/>
      <c r="AJ323" s="910"/>
      <c r="AK323" s="910"/>
      <c r="AL323" s="910"/>
      <c r="AM323" s="910"/>
      <c r="AN323" s="910"/>
      <c r="AO323" s="910"/>
      <c r="AP323" s="910"/>
      <c r="AQ323" s="910"/>
      <c r="AR323" s="910"/>
    </row>
    <row r="324" spans="1:44" ht="4.5" customHeight="1" x14ac:dyDescent="0.3">
      <c r="A324" s="13"/>
      <c r="B324" s="60"/>
      <c r="C324" s="31"/>
      <c r="D324" s="31"/>
      <c r="E324" s="32"/>
      <c r="F324" s="33"/>
      <c r="G324" s="31"/>
      <c r="H324" s="31"/>
      <c r="I324" s="31"/>
      <c r="J324" s="215"/>
      <c r="K324" s="214"/>
      <c r="L324" s="218"/>
      <c r="M324" s="218"/>
      <c r="N324" s="218"/>
      <c r="O324" s="218"/>
      <c r="P324" s="218"/>
      <c r="Q324" s="218"/>
      <c r="R324" s="218"/>
      <c r="S324" s="218"/>
      <c r="T324" s="218"/>
      <c r="U324" s="218"/>
      <c r="V324" s="218"/>
      <c r="W324" s="218"/>
      <c r="X324" s="218"/>
      <c r="Y324" s="218"/>
      <c r="Z324" s="218"/>
      <c r="AA324" s="218"/>
      <c r="AB324" s="218"/>
      <c r="AC324" s="218"/>
      <c r="AD324" s="218"/>
      <c r="AE324" s="218"/>
      <c r="AF324" s="218"/>
      <c r="AG324" s="218"/>
      <c r="AH324" s="218"/>
      <c r="AI324" s="218"/>
      <c r="AJ324" s="218"/>
      <c r="AK324" s="218"/>
      <c r="AL324" s="218"/>
      <c r="AM324" s="218"/>
      <c r="AN324" s="218"/>
      <c r="AO324" s="218"/>
      <c r="AP324" s="218"/>
      <c r="AQ324" s="218"/>
      <c r="AR324" s="218"/>
    </row>
    <row r="325" spans="1:44" ht="26.25" customHeight="1" x14ac:dyDescent="0.3">
      <c r="A325" s="13" t="s">
        <v>37</v>
      </c>
      <c r="B325" s="60"/>
      <c r="C325" s="31"/>
      <c r="D325" s="31"/>
      <c r="E325" s="34"/>
      <c r="F325" s="31"/>
      <c r="G325" s="31"/>
      <c r="H325" s="31"/>
      <c r="I325" s="31"/>
      <c r="J325" s="215"/>
      <c r="K325" s="214"/>
      <c r="L325" s="910" t="s">
        <v>1252</v>
      </c>
      <c r="M325" s="910"/>
      <c r="N325" s="910"/>
      <c r="O325" s="910"/>
      <c r="P325" s="910"/>
      <c r="Q325" s="910"/>
      <c r="R325" s="910"/>
      <c r="S325" s="910"/>
      <c r="T325" s="910"/>
      <c r="U325" s="910"/>
      <c r="V325" s="910"/>
      <c r="W325" s="910"/>
      <c r="X325" s="910"/>
      <c r="Y325" s="910"/>
      <c r="Z325" s="910"/>
      <c r="AA325" s="910"/>
      <c r="AB325" s="910"/>
      <c r="AC325" s="910"/>
      <c r="AD325" s="910"/>
      <c r="AE325" s="910"/>
      <c r="AF325" s="910"/>
      <c r="AG325" s="910"/>
      <c r="AH325" s="910"/>
      <c r="AI325" s="910"/>
      <c r="AJ325" s="910"/>
      <c r="AK325" s="910"/>
      <c r="AL325" s="910"/>
      <c r="AM325" s="910"/>
      <c r="AN325" s="910"/>
      <c r="AO325" s="910"/>
      <c r="AP325" s="910"/>
      <c r="AQ325" s="910"/>
      <c r="AR325" s="910"/>
    </row>
    <row r="326" spans="1:44" ht="4.5" customHeight="1" x14ac:dyDescent="0.3">
      <c r="A326" s="13"/>
      <c r="B326" s="60"/>
      <c r="C326" s="31"/>
      <c r="D326" s="31"/>
      <c r="E326" s="34"/>
      <c r="F326" s="31"/>
      <c r="G326" s="31"/>
      <c r="H326" s="31"/>
      <c r="I326" s="31"/>
      <c r="J326" s="215"/>
      <c r="K326" s="214"/>
      <c r="L326" s="218"/>
      <c r="M326" s="218"/>
      <c r="N326" s="218"/>
      <c r="O326" s="218"/>
      <c r="P326" s="218"/>
      <c r="Q326" s="218"/>
      <c r="R326" s="218"/>
      <c r="S326" s="218"/>
      <c r="T326" s="218"/>
      <c r="U326" s="218"/>
      <c r="V326" s="218"/>
      <c r="W326" s="218"/>
      <c r="X326" s="218"/>
      <c r="Y326" s="218"/>
      <c r="Z326" s="218"/>
      <c r="AA326" s="218"/>
      <c r="AB326" s="218"/>
      <c r="AC326" s="218"/>
      <c r="AD326" s="218"/>
      <c r="AE326" s="218"/>
      <c r="AF326" s="218"/>
      <c r="AG326" s="218"/>
      <c r="AH326" s="218"/>
      <c r="AI326" s="218"/>
      <c r="AJ326" s="218"/>
      <c r="AK326" s="218"/>
      <c r="AL326" s="218"/>
      <c r="AM326" s="218"/>
      <c r="AN326" s="218"/>
      <c r="AO326" s="218"/>
      <c r="AP326" s="218"/>
      <c r="AQ326" s="218"/>
      <c r="AR326" s="218"/>
    </row>
    <row r="327" spans="1:44" x14ac:dyDescent="0.3">
      <c r="A327" s="13" t="s">
        <v>38</v>
      </c>
      <c r="B327" s="60"/>
      <c r="C327" s="31"/>
      <c r="D327" s="31"/>
      <c r="E327" s="32"/>
      <c r="F327" s="33"/>
      <c r="G327" s="31"/>
      <c r="H327" s="31"/>
      <c r="I327" s="31"/>
      <c r="J327" s="215"/>
      <c r="K327" s="214"/>
      <c r="L327" s="910" t="s">
        <v>1253</v>
      </c>
      <c r="M327" s="910"/>
      <c r="N327" s="910"/>
      <c r="O327" s="910"/>
      <c r="P327" s="910"/>
      <c r="Q327" s="910"/>
      <c r="R327" s="910"/>
      <c r="S327" s="910"/>
      <c r="T327" s="910"/>
      <c r="U327" s="910"/>
      <c r="V327" s="910"/>
      <c r="W327" s="910"/>
      <c r="X327" s="910"/>
      <c r="Y327" s="910"/>
      <c r="Z327" s="910"/>
      <c r="AA327" s="910"/>
      <c r="AB327" s="910"/>
      <c r="AC327" s="910"/>
      <c r="AD327" s="910"/>
      <c r="AE327" s="910"/>
      <c r="AF327" s="910"/>
      <c r="AG327" s="910"/>
      <c r="AH327" s="910"/>
      <c r="AI327" s="910"/>
      <c r="AJ327" s="910"/>
      <c r="AK327" s="910"/>
      <c r="AL327" s="910"/>
      <c r="AM327" s="910"/>
      <c r="AN327" s="910"/>
      <c r="AO327" s="910"/>
      <c r="AP327" s="910"/>
      <c r="AQ327" s="910"/>
      <c r="AR327" s="910"/>
    </row>
    <row r="328" spans="1:44" ht="4.5" customHeight="1" x14ac:dyDescent="0.3">
      <c r="A328" s="13"/>
      <c r="B328" s="60"/>
      <c r="C328" s="1"/>
      <c r="D328" s="1"/>
      <c r="E328" s="35"/>
      <c r="F328" s="1"/>
      <c r="G328" s="1"/>
      <c r="H328" s="1"/>
      <c r="I328" s="1"/>
      <c r="J328" s="214"/>
      <c r="K328" s="214"/>
      <c r="L328" s="218"/>
      <c r="M328" s="218"/>
      <c r="N328" s="218"/>
      <c r="O328" s="218"/>
      <c r="P328" s="218"/>
      <c r="Q328" s="218"/>
      <c r="R328" s="218"/>
      <c r="S328" s="218"/>
      <c r="T328" s="218"/>
      <c r="U328" s="218"/>
      <c r="V328" s="218"/>
      <c r="W328" s="218"/>
      <c r="X328" s="218"/>
      <c r="Y328" s="218"/>
      <c r="Z328" s="218"/>
      <c r="AA328" s="218"/>
      <c r="AB328" s="218"/>
      <c r="AC328" s="218"/>
      <c r="AD328" s="218"/>
      <c r="AE328" s="218"/>
      <c r="AF328" s="218"/>
      <c r="AG328" s="218"/>
      <c r="AH328" s="218"/>
      <c r="AI328" s="218"/>
      <c r="AJ328" s="218"/>
      <c r="AK328" s="218"/>
      <c r="AL328" s="218"/>
      <c r="AM328" s="218"/>
      <c r="AN328" s="218"/>
      <c r="AO328" s="218"/>
      <c r="AP328" s="218"/>
      <c r="AQ328" s="218"/>
      <c r="AR328" s="218"/>
    </row>
    <row r="329" spans="1:44" x14ac:dyDescent="0.3">
      <c r="A329" s="13" t="s">
        <v>39</v>
      </c>
      <c r="B329" s="60"/>
      <c r="C329" s="1"/>
      <c r="D329" s="1"/>
      <c r="E329" s="11"/>
      <c r="F329" s="3"/>
      <c r="G329" s="1"/>
      <c r="H329" s="1"/>
      <c r="I329" s="1"/>
      <c r="J329" s="214"/>
      <c r="K329" s="214"/>
      <c r="L329" s="910" t="s">
        <v>1254</v>
      </c>
      <c r="M329" s="910"/>
      <c r="N329" s="910"/>
      <c r="O329" s="910"/>
      <c r="P329" s="910"/>
      <c r="Q329" s="910"/>
      <c r="R329" s="910"/>
      <c r="S329" s="910"/>
      <c r="T329" s="910"/>
      <c r="U329" s="910"/>
      <c r="V329" s="910"/>
      <c r="W329" s="910"/>
      <c r="X329" s="910"/>
      <c r="Y329" s="910"/>
      <c r="Z329" s="910"/>
      <c r="AA329" s="910"/>
      <c r="AB329" s="910"/>
      <c r="AC329" s="910"/>
      <c r="AD329" s="910"/>
      <c r="AE329" s="910"/>
      <c r="AF329" s="910"/>
      <c r="AG329" s="910"/>
      <c r="AH329" s="910"/>
      <c r="AI329" s="910"/>
      <c r="AJ329" s="910"/>
      <c r="AK329" s="910"/>
      <c r="AL329" s="910"/>
      <c r="AM329" s="910"/>
      <c r="AN329" s="910"/>
      <c r="AO329" s="910"/>
      <c r="AP329" s="910"/>
      <c r="AQ329" s="910"/>
      <c r="AR329" s="910"/>
    </row>
    <row r="330" spans="1:44" ht="4.5" customHeight="1" x14ac:dyDescent="0.3">
      <c r="A330" s="13"/>
      <c r="B330" s="60"/>
      <c r="C330" s="1"/>
      <c r="D330" s="1"/>
      <c r="E330" s="11"/>
      <c r="F330" s="1"/>
      <c r="G330" s="1"/>
      <c r="H330" s="1"/>
      <c r="I330" s="1"/>
      <c r="J330" s="214"/>
      <c r="K330" s="214"/>
      <c r="L330" s="218"/>
      <c r="M330" s="218"/>
      <c r="N330" s="218"/>
      <c r="O330" s="218"/>
      <c r="P330" s="218"/>
      <c r="Q330" s="218"/>
      <c r="R330" s="218"/>
      <c r="S330" s="218"/>
      <c r="T330" s="218"/>
      <c r="U330" s="218"/>
      <c r="V330" s="218"/>
      <c r="W330" s="218"/>
      <c r="X330" s="218"/>
      <c r="Y330" s="218"/>
      <c r="Z330" s="218"/>
      <c r="AA330" s="218"/>
      <c r="AB330" s="218"/>
      <c r="AC330" s="218"/>
      <c r="AD330" s="218"/>
      <c r="AE330" s="218"/>
      <c r="AF330" s="218"/>
      <c r="AG330" s="218"/>
      <c r="AH330" s="218"/>
      <c r="AI330" s="218"/>
      <c r="AJ330" s="218"/>
      <c r="AK330" s="218"/>
      <c r="AL330" s="218"/>
      <c r="AM330" s="218"/>
      <c r="AN330" s="218"/>
      <c r="AO330" s="218"/>
      <c r="AP330" s="218"/>
      <c r="AQ330" s="218"/>
      <c r="AR330" s="218"/>
    </row>
    <row r="331" spans="1:44" x14ac:dyDescent="0.3">
      <c r="A331" s="13"/>
      <c r="B331" s="60"/>
      <c r="C331" s="39"/>
      <c r="D331" s="39"/>
      <c r="E331" s="48" t="s">
        <v>700</v>
      </c>
      <c r="G331" s="39"/>
      <c r="H331" s="39"/>
      <c r="I331" s="39"/>
      <c r="J331" s="706" t="str">
        <f>IF(calculations!M77,"describe corrective action proposed to correct any Red Flag or Yellow Flag ranking",IF(calculations!N77,"describe corrective action proposed to correct any Red Flag or Yellow Flag ranking",""))</f>
        <v/>
      </c>
      <c r="K331" s="707"/>
      <c r="L331" s="707"/>
      <c r="M331" s="707"/>
      <c r="N331" s="707"/>
      <c r="O331" s="707"/>
      <c r="P331" s="707"/>
      <c r="Q331" s="707"/>
      <c r="R331" s="707"/>
      <c r="S331" s="707"/>
      <c r="T331" s="707"/>
      <c r="U331" s="707"/>
      <c r="V331" s="707"/>
      <c r="W331" s="707"/>
      <c r="X331" s="707"/>
      <c r="Y331" s="707"/>
      <c r="Z331" s="707"/>
      <c r="AA331" s="707"/>
      <c r="AB331" s="707"/>
      <c r="AC331" s="707"/>
      <c r="AD331" s="707"/>
      <c r="AE331" s="707"/>
      <c r="AF331" s="707"/>
      <c r="AG331" s="707"/>
      <c r="AH331" s="707"/>
      <c r="AI331" s="707"/>
      <c r="AJ331" s="707"/>
      <c r="AK331" s="707"/>
      <c r="AL331" s="707"/>
      <c r="AM331" s="707"/>
      <c r="AN331" s="707"/>
      <c r="AO331" s="707"/>
      <c r="AP331" s="707"/>
      <c r="AQ331" s="707"/>
      <c r="AR331" s="708"/>
    </row>
    <row r="332" spans="1:44" s="1" customFormat="1" ht="4.5" customHeight="1" x14ac:dyDescent="0.3">
      <c r="A332" s="13"/>
      <c r="B332" s="104"/>
      <c r="C332" s="39"/>
      <c r="D332" s="39"/>
      <c r="E332" s="48"/>
      <c r="G332" s="39"/>
      <c r="H332" s="39"/>
      <c r="I332" s="39"/>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row>
    <row r="333" spans="1:44" ht="40.5" customHeight="1" x14ac:dyDescent="0.3">
      <c r="A333" s="13"/>
      <c r="B333" s="60"/>
      <c r="C333" s="39"/>
      <c r="D333" s="39"/>
      <c r="E333" s="55" t="str">
        <f>IF(calculations!M77,"OFE",IF(calculations!N77,"REC",IF(J333&gt;"","REC","")))</f>
        <v/>
      </c>
      <c r="G333" s="38"/>
      <c r="H333" s="1"/>
      <c r="I333" s="1"/>
      <c r="J333" s="724" t="str">
        <f>IF(calculations!M77,CONCATENATE("OFE:  ",Rec!E121),IF(calculations!N77,Rec!E122,""))</f>
        <v/>
      </c>
      <c r="K333" s="725"/>
      <c r="L333" s="725"/>
      <c r="M333" s="725"/>
      <c r="N333" s="725"/>
      <c r="O333" s="725"/>
      <c r="P333" s="725"/>
      <c r="Q333" s="725"/>
      <c r="R333" s="725"/>
      <c r="S333" s="725"/>
      <c r="T333" s="725"/>
      <c r="U333" s="725"/>
      <c r="V333" s="725"/>
      <c r="W333" s="725"/>
      <c r="X333" s="725"/>
      <c r="Y333" s="725"/>
      <c r="Z333" s="725"/>
      <c r="AA333" s="725"/>
      <c r="AB333" s="725"/>
      <c r="AC333" s="725"/>
      <c r="AD333" s="725"/>
      <c r="AE333" s="725"/>
      <c r="AF333" s="725"/>
      <c r="AG333" s="725"/>
      <c r="AH333" s="725"/>
      <c r="AI333" s="725"/>
      <c r="AJ333" s="725"/>
      <c r="AK333" s="725"/>
      <c r="AL333" s="725"/>
      <c r="AM333" s="725"/>
      <c r="AN333" s="725"/>
      <c r="AO333" s="725"/>
      <c r="AP333" s="725"/>
      <c r="AQ333" s="725"/>
      <c r="AR333" s="726"/>
    </row>
    <row r="334" spans="1:44" x14ac:dyDescent="0.3">
      <c r="A334" s="13"/>
      <c r="B334" s="60"/>
      <c r="C334" s="39"/>
      <c r="D334" s="39"/>
      <c r="E334" s="44"/>
      <c r="F334" s="37"/>
      <c r="G334" s="39"/>
      <c r="H334" s="39"/>
      <c r="I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4.15" x14ac:dyDescent="0.35">
      <c r="A335" s="232" t="s">
        <v>865</v>
      </c>
      <c r="B335" s="60"/>
      <c r="C335" s="39"/>
      <c r="D335" s="47" t="s">
        <v>40</v>
      </c>
      <c r="E335" s="44"/>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4.5" customHeight="1" x14ac:dyDescent="0.3">
      <c r="A336" s="13"/>
      <c r="B336" s="60"/>
      <c r="C336" s="1"/>
      <c r="D336" s="1"/>
      <c r="E336" s="11"/>
      <c r="F336" s="1"/>
      <c r="G336" s="1"/>
      <c r="H336" s="1"/>
      <c r="I336" s="1"/>
      <c r="J336" s="1"/>
      <c r="K336" s="1"/>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x14ac:dyDescent="0.3">
      <c r="A337" s="13" t="s">
        <v>41</v>
      </c>
      <c r="B337" s="60"/>
      <c r="C337" s="31"/>
      <c r="D337" s="31"/>
      <c r="E337" s="32"/>
      <c r="F337" s="33"/>
      <c r="G337" s="31"/>
      <c r="H337" s="31"/>
      <c r="I337" s="31"/>
      <c r="J337" s="215"/>
      <c r="K337" s="214"/>
      <c r="L337" s="910" t="s">
        <v>1255</v>
      </c>
      <c r="M337" s="910"/>
      <c r="N337" s="910"/>
      <c r="O337" s="910"/>
      <c r="P337" s="910"/>
      <c r="Q337" s="910"/>
      <c r="R337" s="910"/>
      <c r="S337" s="910"/>
      <c r="T337" s="910"/>
      <c r="U337" s="910"/>
      <c r="V337" s="910"/>
      <c r="W337" s="910"/>
      <c r="X337" s="910"/>
      <c r="Y337" s="910"/>
      <c r="Z337" s="910"/>
      <c r="AA337" s="910"/>
      <c r="AB337" s="910"/>
      <c r="AC337" s="910"/>
      <c r="AD337" s="910"/>
      <c r="AE337" s="910"/>
      <c r="AF337" s="910"/>
      <c r="AG337" s="910"/>
      <c r="AH337" s="910"/>
      <c r="AI337" s="910"/>
      <c r="AJ337" s="910"/>
      <c r="AK337" s="910"/>
      <c r="AL337" s="910"/>
      <c r="AM337" s="910"/>
      <c r="AN337" s="910"/>
      <c r="AO337" s="910"/>
      <c r="AP337" s="910"/>
      <c r="AQ337" s="910"/>
      <c r="AR337" s="910"/>
    </row>
    <row r="338" spans="1:44" ht="4.5" customHeight="1" x14ac:dyDescent="0.3">
      <c r="A338" s="13"/>
      <c r="B338" s="60"/>
      <c r="C338" s="31"/>
      <c r="D338" s="31"/>
      <c r="E338" s="34"/>
      <c r="F338" s="31"/>
      <c r="G338" s="31"/>
      <c r="H338" s="31"/>
      <c r="I338" s="31"/>
      <c r="J338" s="215"/>
      <c r="K338" s="214"/>
      <c r="L338" s="218"/>
      <c r="M338" s="218"/>
      <c r="N338" s="218"/>
      <c r="O338" s="218"/>
      <c r="P338" s="218"/>
      <c r="Q338" s="218"/>
      <c r="R338" s="218"/>
      <c r="S338" s="218"/>
      <c r="T338" s="218"/>
      <c r="U338" s="218"/>
      <c r="V338" s="218"/>
      <c r="W338" s="218"/>
      <c r="X338" s="218"/>
      <c r="Y338" s="218"/>
      <c r="Z338" s="218"/>
      <c r="AA338" s="218"/>
      <c r="AB338" s="218"/>
      <c r="AC338" s="218"/>
      <c r="AD338" s="218"/>
      <c r="AE338" s="218"/>
      <c r="AF338" s="218"/>
      <c r="AG338" s="218"/>
      <c r="AH338" s="218"/>
      <c r="AI338" s="218"/>
      <c r="AJ338" s="218"/>
      <c r="AK338" s="218"/>
      <c r="AL338" s="218"/>
      <c r="AM338" s="218"/>
      <c r="AN338" s="218"/>
      <c r="AO338" s="218"/>
      <c r="AP338" s="218"/>
      <c r="AQ338" s="218"/>
      <c r="AR338" s="218"/>
    </row>
    <row r="339" spans="1:44" x14ac:dyDescent="0.3">
      <c r="A339" s="13" t="s">
        <v>42</v>
      </c>
      <c r="B339" s="60"/>
      <c r="C339" s="31"/>
      <c r="D339" s="31"/>
      <c r="E339" s="32"/>
      <c r="F339" s="33"/>
      <c r="G339" s="31"/>
      <c r="H339" s="31"/>
      <c r="I339" s="31"/>
      <c r="J339" s="215"/>
      <c r="K339" s="214"/>
      <c r="L339" s="910" t="s">
        <v>1264</v>
      </c>
      <c r="M339" s="910"/>
      <c r="N339" s="910"/>
      <c r="O339" s="910"/>
      <c r="P339" s="910"/>
      <c r="Q339" s="910"/>
      <c r="R339" s="910"/>
      <c r="S339" s="910"/>
      <c r="T339" s="910"/>
      <c r="U339" s="910"/>
      <c r="V339" s="910"/>
      <c r="W339" s="910"/>
      <c r="X339" s="910"/>
      <c r="Y339" s="910"/>
      <c r="Z339" s="910"/>
      <c r="AA339" s="910"/>
      <c r="AB339" s="910"/>
      <c r="AC339" s="910"/>
      <c r="AD339" s="910"/>
      <c r="AE339" s="910"/>
      <c r="AF339" s="910"/>
      <c r="AG339" s="910"/>
      <c r="AH339" s="910"/>
      <c r="AI339" s="910"/>
      <c r="AJ339" s="910"/>
      <c r="AK339" s="910"/>
      <c r="AL339" s="910"/>
      <c r="AM339" s="910"/>
      <c r="AN339" s="910"/>
      <c r="AO339" s="910"/>
      <c r="AP339" s="910"/>
      <c r="AQ339" s="910"/>
      <c r="AR339" s="910"/>
    </row>
    <row r="340" spans="1:44" ht="4.5" customHeight="1" x14ac:dyDescent="0.3">
      <c r="A340" s="13"/>
      <c r="B340" s="60"/>
      <c r="C340" s="31"/>
      <c r="D340" s="31"/>
      <c r="E340" s="32"/>
      <c r="F340" s="33"/>
      <c r="G340" s="31"/>
      <c r="H340" s="31"/>
      <c r="I340" s="31"/>
      <c r="J340" s="215"/>
      <c r="K340" s="214"/>
      <c r="L340" s="218"/>
      <c r="M340" s="218"/>
      <c r="N340" s="218"/>
      <c r="O340" s="218"/>
      <c r="P340" s="218"/>
      <c r="Q340" s="218"/>
      <c r="R340" s="218"/>
      <c r="S340" s="218"/>
      <c r="T340" s="218"/>
      <c r="U340" s="218"/>
      <c r="V340" s="218"/>
      <c r="W340" s="218"/>
      <c r="X340" s="218"/>
      <c r="Y340" s="218"/>
      <c r="Z340" s="218"/>
      <c r="AA340" s="218"/>
      <c r="AB340" s="218"/>
      <c r="AC340" s="218"/>
      <c r="AD340" s="218"/>
      <c r="AE340" s="218"/>
      <c r="AF340" s="218"/>
      <c r="AG340" s="218"/>
      <c r="AH340" s="218"/>
      <c r="AI340" s="218"/>
      <c r="AJ340" s="218"/>
      <c r="AK340" s="218"/>
      <c r="AL340" s="218"/>
      <c r="AM340" s="218"/>
      <c r="AN340" s="218"/>
      <c r="AO340" s="218"/>
      <c r="AP340" s="218"/>
      <c r="AQ340" s="218"/>
      <c r="AR340" s="218"/>
    </row>
    <row r="341" spans="1:44" x14ac:dyDescent="0.3">
      <c r="A341" s="13" t="s">
        <v>43</v>
      </c>
      <c r="B341" s="60"/>
      <c r="C341" s="31"/>
      <c r="D341" s="31"/>
      <c r="E341" s="34"/>
      <c r="F341" s="31"/>
      <c r="G341" s="31"/>
      <c r="H341" s="31"/>
      <c r="I341" s="31"/>
      <c r="J341" s="215"/>
      <c r="K341" s="214"/>
      <c r="L341" s="910" t="s">
        <v>1265</v>
      </c>
      <c r="M341" s="910"/>
      <c r="N341" s="910"/>
      <c r="O341" s="910"/>
      <c r="P341" s="910"/>
      <c r="Q341" s="910"/>
      <c r="R341" s="910"/>
      <c r="S341" s="910"/>
      <c r="T341" s="910"/>
      <c r="U341" s="910"/>
      <c r="V341" s="910"/>
      <c r="W341" s="910"/>
      <c r="X341" s="910"/>
      <c r="Y341" s="910"/>
      <c r="Z341" s="910"/>
      <c r="AA341" s="910"/>
      <c r="AB341" s="910"/>
      <c r="AC341" s="910"/>
      <c r="AD341" s="910"/>
      <c r="AE341" s="910"/>
      <c r="AF341" s="910"/>
      <c r="AG341" s="910"/>
      <c r="AH341" s="910"/>
      <c r="AI341" s="910"/>
      <c r="AJ341" s="910"/>
      <c r="AK341" s="910"/>
      <c r="AL341" s="910"/>
      <c r="AM341" s="910"/>
      <c r="AN341" s="910"/>
      <c r="AO341" s="910"/>
      <c r="AP341" s="910"/>
      <c r="AQ341" s="910"/>
      <c r="AR341" s="910"/>
    </row>
    <row r="342" spans="1:44" ht="4.5" customHeight="1" x14ac:dyDescent="0.3">
      <c r="A342" s="13"/>
      <c r="B342" s="60"/>
      <c r="C342" s="31"/>
      <c r="D342" s="31"/>
      <c r="E342" s="34"/>
      <c r="F342" s="31"/>
      <c r="G342" s="31"/>
      <c r="H342" s="31"/>
      <c r="I342" s="31"/>
      <c r="J342" s="215"/>
      <c r="K342" s="214"/>
      <c r="L342" s="218"/>
      <c r="M342" s="218"/>
      <c r="N342" s="218"/>
      <c r="O342" s="218"/>
      <c r="P342" s="218"/>
      <c r="Q342" s="218"/>
      <c r="R342" s="218"/>
      <c r="S342" s="218"/>
      <c r="T342" s="218"/>
      <c r="U342" s="218"/>
      <c r="V342" s="218"/>
      <c r="W342" s="218"/>
      <c r="X342" s="218"/>
      <c r="Y342" s="218"/>
      <c r="Z342" s="218"/>
      <c r="AA342" s="218"/>
      <c r="AB342" s="218"/>
      <c r="AC342" s="218"/>
      <c r="AD342" s="218"/>
      <c r="AE342" s="218"/>
      <c r="AF342" s="218"/>
      <c r="AG342" s="218"/>
      <c r="AH342" s="218"/>
      <c r="AI342" s="218"/>
      <c r="AJ342" s="218"/>
      <c r="AK342" s="218"/>
      <c r="AL342" s="218"/>
      <c r="AM342" s="218"/>
      <c r="AN342" s="218"/>
      <c r="AO342" s="218"/>
      <c r="AP342" s="218"/>
      <c r="AQ342" s="218"/>
      <c r="AR342" s="218"/>
    </row>
    <row r="343" spans="1:44" ht="26.25" customHeight="1" x14ac:dyDescent="0.3">
      <c r="A343" s="13" t="s">
        <v>44</v>
      </c>
      <c r="B343" s="60"/>
      <c r="C343" s="31"/>
      <c r="D343" s="31"/>
      <c r="E343" s="32"/>
      <c r="F343" s="33"/>
      <c r="G343" s="31"/>
      <c r="H343" s="31"/>
      <c r="I343" s="31"/>
      <c r="J343" s="215"/>
      <c r="K343" s="214"/>
      <c r="L343" s="910" t="s">
        <v>1581</v>
      </c>
      <c r="M343" s="910"/>
      <c r="N343" s="910"/>
      <c r="O343" s="910"/>
      <c r="P343" s="910"/>
      <c r="Q343" s="910"/>
      <c r="R343" s="910"/>
      <c r="S343" s="910"/>
      <c r="T343" s="910"/>
      <c r="U343" s="910"/>
      <c r="V343" s="910"/>
      <c r="W343" s="910"/>
      <c r="X343" s="910"/>
      <c r="Y343" s="910"/>
      <c r="Z343" s="910"/>
      <c r="AA343" s="910"/>
      <c r="AB343" s="910"/>
      <c r="AC343" s="910"/>
      <c r="AD343" s="910"/>
      <c r="AE343" s="910"/>
      <c r="AF343" s="910"/>
      <c r="AG343" s="910"/>
      <c r="AH343" s="910"/>
      <c r="AI343" s="910"/>
      <c r="AJ343" s="910"/>
      <c r="AK343" s="910"/>
      <c r="AL343" s="910"/>
      <c r="AM343" s="910"/>
      <c r="AN343" s="910"/>
      <c r="AO343" s="910"/>
      <c r="AP343" s="910"/>
      <c r="AQ343" s="910"/>
      <c r="AR343" s="910"/>
    </row>
    <row r="344" spans="1:44" ht="4.5" customHeight="1" x14ac:dyDescent="0.3">
      <c r="A344" s="13"/>
      <c r="B344" s="60"/>
      <c r="C344" s="1"/>
      <c r="D344" s="1"/>
      <c r="E344" s="35"/>
      <c r="F344" s="1"/>
      <c r="G344" s="1"/>
      <c r="H344" s="1"/>
      <c r="I344" s="1"/>
      <c r="J344" s="214"/>
      <c r="K344" s="214"/>
      <c r="L344" s="218"/>
      <c r="M344" s="218"/>
      <c r="N344" s="218"/>
      <c r="O344" s="218"/>
      <c r="P344" s="218"/>
      <c r="Q344" s="218"/>
      <c r="R344" s="218"/>
      <c r="S344" s="218"/>
      <c r="T344" s="218"/>
      <c r="U344" s="218"/>
      <c r="V344" s="218"/>
      <c r="W344" s="218"/>
      <c r="X344" s="218"/>
      <c r="Y344" s="218"/>
      <c r="Z344" s="218"/>
      <c r="AA344" s="218"/>
      <c r="AB344" s="218"/>
      <c r="AC344" s="218"/>
      <c r="AD344" s="218"/>
      <c r="AE344" s="218"/>
      <c r="AF344" s="218"/>
      <c r="AG344" s="218"/>
      <c r="AH344" s="218"/>
      <c r="AI344" s="218"/>
      <c r="AJ344" s="218"/>
      <c r="AK344" s="218"/>
      <c r="AL344" s="218"/>
      <c r="AM344" s="218"/>
      <c r="AN344" s="218"/>
      <c r="AO344" s="218"/>
      <c r="AP344" s="218"/>
      <c r="AQ344" s="218"/>
      <c r="AR344" s="218"/>
    </row>
    <row r="345" spans="1:44" ht="26.25" customHeight="1" x14ac:dyDescent="0.3">
      <c r="A345" s="13" t="s">
        <v>45</v>
      </c>
      <c r="B345" s="60"/>
      <c r="C345" s="1"/>
      <c r="D345" s="1"/>
      <c r="E345" s="11"/>
      <c r="F345" s="3"/>
      <c r="G345" s="1"/>
      <c r="H345" s="1"/>
      <c r="I345" s="1"/>
      <c r="J345" s="214"/>
      <c r="K345" s="214"/>
      <c r="L345" s="910" t="s">
        <v>1256</v>
      </c>
      <c r="M345" s="910"/>
      <c r="N345" s="910"/>
      <c r="O345" s="910"/>
      <c r="P345" s="910"/>
      <c r="Q345" s="910"/>
      <c r="R345" s="910"/>
      <c r="S345" s="910"/>
      <c r="T345" s="910"/>
      <c r="U345" s="910"/>
      <c r="V345" s="910"/>
      <c r="W345" s="910"/>
      <c r="X345" s="910"/>
      <c r="Y345" s="910"/>
      <c r="Z345" s="910"/>
      <c r="AA345" s="910"/>
      <c r="AB345" s="910"/>
      <c r="AC345" s="910"/>
      <c r="AD345" s="910"/>
      <c r="AE345" s="910"/>
      <c r="AF345" s="910"/>
      <c r="AG345" s="910"/>
      <c r="AH345" s="910"/>
      <c r="AI345" s="910"/>
      <c r="AJ345" s="910"/>
      <c r="AK345" s="910"/>
      <c r="AL345" s="910"/>
      <c r="AM345" s="910"/>
      <c r="AN345" s="910"/>
      <c r="AO345" s="910"/>
      <c r="AP345" s="910"/>
      <c r="AQ345" s="910"/>
      <c r="AR345" s="910"/>
    </row>
    <row r="346" spans="1:44" ht="4.5" customHeight="1" x14ac:dyDescent="0.3">
      <c r="A346" s="13"/>
      <c r="B346" s="60"/>
      <c r="C346" s="1"/>
      <c r="D346" s="1"/>
      <c r="E346" s="11"/>
      <c r="F346" s="1"/>
      <c r="G346" s="1"/>
      <c r="H346" s="1"/>
      <c r="I346" s="1"/>
      <c r="J346" s="214"/>
      <c r="K346" s="214"/>
      <c r="L346" s="218"/>
      <c r="M346" s="218"/>
      <c r="N346" s="218"/>
      <c r="O346" s="218"/>
      <c r="P346" s="218"/>
      <c r="Q346" s="218"/>
      <c r="R346" s="218"/>
      <c r="S346" s="218"/>
      <c r="T346" s="218"/>
      <c r="U346" s="218"/>
      <c r="V346" s="218"/>
      <c r="W346" s="218"/>
      <c r="X346" s="218"/>
      <c r="Y346" s="218"/>
      <c r="Z346" s="218"/>
      <c r="AA346" s="218"/>
      <c r="AB346" s="218"/>
      <c r="AC346" s="218"/>
      <c r="AD346" s="218"/>
      <c r="AE346" s="218"/>
      <c r="AF346" s="218"/>
      <c r="AG346" s="218"/>
      <c r="AH346" s="218"/>
      <c r="AI346" s="218"/>
      <c r="AJ346" s="218"/>
      <c r="AK346" s="218"/>
      <c r="AL346" s="218"/>
      <c r="AM346" s="218"/>
      <c r="AN346" s="218"/>
      <c r="AO346" s="218"/>
      <c r="AP346" s="218"/>
      <c r="AQ346" s="218"/>
      <c r="AR346" s="218"/>
    </row>
    <row r="347" spans="1:44" ht="26.25" customHeight="1" x14ac:dyDescent="0.3">
      <c r="A347" s="13" t="s">
        <v>46</v>
      </c>
      <c r="B347" s="60"/>
      <c r="C347" s="39"/>
      <c r="D347" s="39"/>
      <c r="E347" s="44"/>
      <c r="F347" s="39"/>
      <c r="G347" s="39"/>
      <c r="H347" s="39"/>
      <c r="I347" s="39"/>
      <c r="J347" s="218"/>
      <c r="K347" s="218"/>
      <c r="L347" s="910" t="s">
        <v>1257</v>
      </c>
      <c r="M347" s="910"/>
      <c r="N347" s="910"/>
      <c r="O347" s="910"/>
      <c r="P347" s="910"/>
      <c r="Q347" s="910"/>
      <c r="R347" s="910"/>
      <c r="S347" s="910"/>
      <c r="T347" s="910"/>
      <c r="U347" s="910"/>
      <c r="V347" s="910"/>
      <c r="W347" s="910"/>
      <c r="X347" s="910"/>
      <c r="Y347" s="910"/>
      <c r="Z347" s="910"/>
      <c r="AA347" s="910"/>
      <c r="AB347" s="910"/>
      <c r="AC347" s="910"/>
      <c r="AD347" s="910"/>
      <c r="AE347" s="910"/>
      <c r="AF347" s="910"/>
      <c r="AG347" s="910"/>
      <c r="AH347" s="910"/>
      <c r="AI347" s="910"/>
      <c r="AJ347" s="910"/>
      <c r="AK347" s="910"/>
      <c r="AL347" s="910"/>
      <c r="AM347" s="910"/>
      <c r="AN347" s="910"/>
      <c r="AO347" s="910"/>
      <c r="AP347" s="910"/>
      <c r="AQ347" s="910"/>
      <c r="AR347" s="910"/>
    </row>
    <row r="348" spans="1:44" ht="4.5" customHeight="1" x14ac:dyDescent="0.3">
      <c r="A348" s="4"/>
      <c r="B348" s="60"/>
      <c r="C348" s="39"/>
      <c r="D348" s="39"/>
      <c r="E348" s="44"/>
      <c r="F348" s="39"/>
      <c r="G348" s="39"/>
      <c r="H348" s="39"/>
      <c r="I348" s="39"/>
      <c r="J348" s="218"/>
      <c r="K348" s="218"/>
      <c r="L348" s="218"/>
      <c r="M348" s="218"/>
      <c r="N348" s="218"/>
      <c r="O348" s="218"/>
      <c r="P348" s="218"/>
      <c r="Q348" s="218"/>
      <c r="R348" s="218"/>
      <c r="S348" s="218"/>
      <c r="T348" s="218"/>
      <c r="U348" s="218"/>
      <c r="V348" s="218"/>
      <c r="W348" s="218"/>
      <c r="X348" s="218"/>
      <c r="Y348" s="218"/>
      <c r="Z348" s="218"/>
      <c r="AA348" s="218"/>
      <c r="AB348" s="218"/>
      <c r="AC348" s="218"/>
      <c r="AD348" s="218"/>
      <c r="AE348" s="218"/>
      <c r="AF348" s="218"/>
      <c r="AG348" s="218"/>
      <c r="AH348" s="218"/>
      <c r="AI348" s="218"/>
      <c r="AJ348" s="218"/>
      <c r="AK348" s="218"/>
      <c r="AL348" s="218"/>
      <c r="AM348" s="218"/>
      <c r="AN348" s="218"/>
      <c r="AO348" s="218"/>
      <c r="AP348" s="218"/>
      <c r="AQ348" s="218"/>
      <c r="AR348" s="218"/>
    </row>
    <row r="349" spans="1:44" x14ac:dyDescent="0.3">
      <c r="A349" s="4"/>
      <c r="B349" s="60"/>
      <c r="C349" s="39"/>
      <c r="D349" s="39"/>
      <c r="E349" s="48" t="s">
        <v>700</v>
      </c>
      <c r="G349" s="39"/>
      <c r="H349" s="39"/>
      <c r="I349" s="39"/>
      <c r="J349" s="706" t="str">
        <f>IF(calculations!M78,"describe corrective action proposed to correct any Red Flag or Yellow Flag ranking",IF(calculations!N78,"describe corrective action proposed to correct any Red Flag or Yellow Flag ranking",""))</f>
        <v/>
      </c>
      <c r="K349" s="707"/>
      <c r="L349" s="707"/>
      <c r="M349" s="707"/>
      <c r="N349" s="707"/>
      <c r="O349" s="707"/>
      <c r="P349" s="707"/>
      <c r="Q349" s="707"/>
      <c r="R349" s="707"/>
      <c r="S349" s="707"/>
      <c r="T349" s="707"/>
      <c r="U349" s="707"/>
      <c r="V349" s="707"/>
      <c r="W349" s="707"/>
      <c r="X349" s="707"/>
      <c r="Y349" s="707"/>
      <c r="Z349" s="707"/>
      <c r="AA349" s="707"/>
      <c r="AB349" s="707"/>
      <c r="AC349" s="707"/>
      <c r="AD349" s="707"/>
      <c r="AE349" s="707"/>
      <c r="AF349" s="707"/>
      <c r="AG349" s="707"/>
      <c r="AH349" s="707"/>
      <c r="AI349" s="707"/>
      <c r="AJ349" s="707"/>
      <c r="AK349" s="707"/>
      <c r="AL349" s="707"/>
      <c r="AM349" s="707"/>
      <c r="AN349" s="707"/>
      <c r="AO349" s="707"/>
      <c r="AP349" s="707"/>
      <c r="AQ349" s="707"/>
      <c r="AR349" s="708"/>
    </row>
    <row r="350" spans="1:44" s="1" customFormat="1" ht="4.5" customHeight="1" x14ac:dyDescent="0.3">
      <c r="A350" s="4"/>
      <c r="B350" s="104"/>
      <c r="C350" s="39"/>
      <c r="D350" s="39"/>
      <c r="E350" s="48"/>
      <c r="G350" s="39"/>
      <c r="H350" s="39"/>
      <c r="I350" s="39"/>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row>
    <row r="351" spans="1:44" ht="39.75" customHeight="1" x14ac:dyDescent="0.3">
      <c r="A351" s="4"/>
      <c r="B351" s="60"/>
      <c r="C351" s="1"/>
      <c r="D351" s="1"/>
      <c r="E351" s="55" t="str">
        <f>IF(J351&gt;"","OFE","")</f>
        <v/>
      </c>
      <c r="G351" s="38"/>
      <c r="H351" s="1"/>
      <c r="I351" s="1"/>
      <c r="J351" s="724" t="str">
        <f>IF(START!A9=1,IF(calculations!M78,CONCATENATE("OFE:  ",Rec!E123),IF(calculations!N78,CONCATENATE("OFE:  ",Rec!E124),"")),"")</f>
        <v/>
      </c>
      <c r="K351" s="725"/>
      <c r="L351" s="725"/>
      <c r="M351" s="725"/>
      <c r="N351" s="725"/>
      <c r="O351" s="725"/>
      <c r="P351" s="725"/>
      <c r="Q351" s="725"/>
      <c r="R351" s="725"/>
      <c r="S351" s="725"/>
      <c r="T351" s="725"/>
      <c r="U351" s="725"/>
      <c r="V351" s="725"/>
      <c r="W351" s="725"/>
      <c r="X351" s="725"/>
      <c r="Y351" s="725"/>
      <c r="Z351" s="725"/>
      <c r="AA351" s="725"/>
      <c r="AB351" s="725"/>
      <c r="AC351" s="725"/>
      <c r="AD351" s="725"/>
      <c r="AE351" s="725"/>
      <c r="AF351" s="725"/>
      <c r="AG351" s="725"/>
      <c r="AH351" s="725"/>
      <c r="AI351" s="725"/>
      <c r="AJ351" s="725"/>
      <c r="AK351" s="725"/>
      <c r="AL351" s="725"/>
      <c r="AM351" s="725"/>
      <c r="AN351" s="725"/>
      <c r="AO351" s="725"/>
      <c r="AP351" s="725"/>
      <c r="AQ351" s="725"/>
      <c r="AR351" s="726"/>
    </row>
    <row r="352" spans="1:44" x14ac:dyDescent="0.3">
      <c r="A352" s="4"/>
      <c r="B352" s="60"/>
      <c r="C352" s="1"/>
      <c r="D352" s="1"/>
      <c r="E352" s="11"/>
      <c r="F352" s="37"/>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ht="26.25" customHeight="1" x14ac:dyDescent="0.3">
      <c r="A353" s="911" t="s">
        <v>47</v>
      </c>
      <c r="B353" s="748"/>
      <c r="C353" s="748"/>
      <c r="D353" s="748"/>
      <c r="E353" s="748"/>
      <c r="F353" s="748"/>
      <c r="G353" s="748"/>
      <c r="H353" s="748"/>
      <c r="I353" s="748"/>
      <c r="J353" s="748"/>
      <c r="K353" s="748"/>
      <c r="L353" s="748"/>
      <c r="M353" s="748"/>
      <c r="N353" s="748"/>
      <c r="O353" s="748"/>
      <c r="P353" s="748"/>
      <c r="Q353" s="748"/>
      <c r="R353" s="748"/>
      <c r="S353" s="748"/>
      <c r="T353" s="748"/>
      <c r="U353" s="748"/>
      <c r="V353" s="748"/>
      <c r="W353" s="748"/>
      <c r="X353" s="748"/>
      <c r="Y353" s="748"/>
      <c r="Z353" s="748"/>
      <c r="AA353" s="748"/>
      <c r="AB353" s="748"/>
      <c r="AC353" s="748"/>
      <c r="AD353" s="748"/>
      <c r="AE353" s="748"/>
      <c r="AF353" s="748"/>
      <c r="AG353" s="748"/>
      <c r="AH353" s="748"/>
      <c r="AI353" s="748"/>
      <c r="AJ353" s="748"/>
      <c r="AK353" s="748"/>
      <c r="AL353" s="748"/>
      <c r="AM353" s="748"/>
      <c r="AN353" s="748"/>
      <c r="AO353" s="748"/>
      <c r="AP353" s="748"/>
      <c r="AQ353" s="748"/>
      <c r="AR353" s="748"/>
    </row>
    <row r="354" spans="1:44" x14ac:dyDescent="0.3">
      <c r="A354" s="4"/>
      <c r="B354" s="60"/>
      <c r="C354" s="1"/>
      <c r="D354" s="1"/>
      <c r="E354" s="11"/>
      <c r="F354" s="1"/>
      <c r="G354" s="1"/>
      <c r="H354" s="1"/>
      <c r="I354" s="1"/>
      <c r="J354" s="1"/>
      <c r="K354" s="1"/>
      <c r="L354" s="1"/>
      <c r="M354" s="1"/>
      <c r="N354" s="1"/>
      <c r="O354" s="1"/>
      <c r="P354" s="1"/>
      <c r="Q354" s="1"/>
      <c r="R354" s="1"/>
      <c r="S354" s="1"/>
      <c r="T354" s="1"/>
      <c r="U354" s="1"/>
      <c r="V354" s="1"/>
      <c r="W354" s="1"/>
      <c r="X354" s="1"/>
      <c r="Y354" s="1"/>
      <c r="Z354" s="1"/>
      <c r="AA354" s="1"/>
      <c r="AB354" s="1"/>
      <c r="AC354" s="691" t="s">
        <v>693</v>
      </c>
      <c r="AD354" s="692"/>
      <c r="AE354" s="692"/>
      <c r="AF354" s="692"/>
      <c r="AG354" s="692"/>
      <c r="AH354" s="693"/>
      <c r="AI354" s="1"/>
      <c r="AJ354" s="691" t="s">
        <v>694</v>
      </c>
      <c r="AK354" s="692"/>
      <c r="AL354" s="692"/>
      <c r="AM354" s="692"/>
      <c r="AN354" s="692"/>
      <c r="AO354" s="692"/>
      <c r="AP354" s="692"/>
      <c r="AQ354" s="692"/>
      <c r="AR354" s="693"/>
    </row>
    <row r="355" spans="1:44" x14ac:dyDescent="0.3">
      <c r="A355" s="4"/>
      <c r="B355" s="60"/>
      <c r="C355" s="1"/>
      <c r="D355" s="1"/>
      <c r="E355" s="1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691" t="s">
        <v>695</v>
      </c>
      <c r="AK355" s="692"/>
      <c r="AL355" s="692"/>
      <c r="AM355" s="692"/>
      <c r="AN355" s="692"/>
      <c r="AO355" s="692"/>
      <c r="AP355" s="692"/>
      <c r="AQ355" s="692"/>
      <c r="AR355" s="693"/>
    </row>
    <row r="356" spans="1:44" x14ac:dyDescent="0.3">
      <c r="A356" s="4"/>
      <c r="B356" s="60"/>
      <c r="C356" s="1"/>
      <c r="D356" s="1"/>
      <c r="E356" s="1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ht="14.15" x14ac:dyDescent="0.35">
      <c r="A357" s="232" t="s">
        <v>866</v>
      </c>
      <c r="B357" s="60"/>
      <c r="C357" s="1"/>
      <c r="D357" s="30" t="s">
        <v>48</v>
      </c>
      <c r="E357" s="1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ht="4.5" customHeight="1" x14ac:dyDescent="0.3">
      <c r="A358" s="13"/>
      <c r="B358" s="60"/>
      <c r="C358" s="1"/>
      <c r="D358" s="1"/>
      <c r="E358" s="1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3">
      <c r="A359" s="13" t="s">
        <v>49</v>
      </c>
      <c r="B359" s="60"/>
      <c r="C359" s="31"/>
      <c r="D359" s="31"/>
      <c r="E359" s="32"/>
      <c r="F359" s="33"/>
      <c r="G359" s="31"/>
      <c r="H359" s="31"/>
      <c r="I359" s="31"/>
      <c r="J359" s="215"/>
      <c r="K359" s="214"/>
      <c r="L359" s="902" t="s">
        <v>1266</v>
      </c>
      <c r="M359" s="902"/>
      <c r="N359" s="902"/>
      <c r="O359" s="902"/>
      <c r="P359" s="902"/>
      <c r="Q359" s="902"/>
      <c r="R359" s="902"/>
      <c r="S359" s="902"/>
      <c r="T359" s="902"/>
      <c r="U359" s="902"/>
      <c r="V359" s="902"/>
      <c r="W359" s="902"/>
      <c r="X359" s="902"/>
      <c r="Y359" s="902"/>
      <c r="Z359" s="902"/>
      <c r="AA359" s="902"/>
      <c r="AB359" s="902"/>
      <c r="AC359" s="902"/>
      <c r="AD359" s="902"/>
      <c r="AE359" s="902"/>
      <c r="AF359" s="902"/>
      <c r="AG359" s="902"/>
      <c r="AH359" s="902"/>
      <c r="AI359" s="902"/>
      <c r="AJ359" s="902"/>
      <c r="AK359" s="902"/>
      <c r="AL359" s="902"/>
      <c r="AM359" s="902"/>
      <c r="AN359" s="902"/>
      <c r="AO359" s="902"/>
      <c r="AP359" s="902"/>
      <c r="AQ359" s="902"/>
      <c r="AR359" s="902"/>
    </row>
    <row r="360" spans="1:44" ht="4.5" customHeight="1" x14ac:dyDescent="0.3">
      <c r="A360" s="13"/>
      <c r="B360" s="60"/>
      <c r="C360" s="31"/>
      <c r="D360" s="31"/>
      <c r="E360" s="34"/>
      <c r="F360" s="31"/>
      <c r="G360" s="31"/>
      <c r="H360" s="31"/>
      <c r="I360" s="31"/>
      <c r="J360" s="215"/>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row>
    <row r="361" spans="1:44" x14ac:dyDescent="0.3">
      <c r="A361" s="13" t="s">
        <v>50</v>
      </c>
      <c r="B361" s="60"/>
      <c r="C361" s="31"/>
      <c r="D361" s="31"/>
      <c r="E361" s="32"/>
      <c r="F361" s="33"/>
      <c r="G361" s="31"/>
      <c r="H361" s="31"/>
      <c r="I361" s="31"/>
      <c r="J361" s="215"/>
      <c r="K361" s="214"/>
      <c r="L361" s="902" t="s">
        <v>1267</v>
      </c>
      <c r="M361" s="902"/>
      <c r="N361" s="902"/>
      <c r="O361" s="902"/>
      <c r="P361" s="902"/>
      <c r="Q361" s="902"/>
      <c r="R361" s="902"/>
      <c r="S361" s="902"/>
      <c r="T361" s="902"/>
      <c r="U361" s="902"/>
      <c r="V361" s="902"/>
      <c r="W361" s="902"/>
      <c r="X361" s="902"/>
      <c r="Y361" s="902"/>
      <c r="Z361" s="902"/>
      <c r="AA361" s="902"/>
      <c r="AB361" s="902"/>
      <c r="AC361" s="902"/>
      <c r="AD361" s="902"/>
      <c r="AE361" s="902"/>
      <c r="AF361" s="902"/>
      <c r="AG361" s="902"/>
      <c r="AH361" s="902"/>
      <c r="AI361" s="902"/>
      <c r="AJ361" s="902"/>
      <c r="AK361" s="902"/>
      <c r="AL361" s="902"/>
      <c r="AM361" s="902"/>
      <c r="AN361" s="902"/>
      <c r="AO361" s="902"/>
      <c r="AP361" s="902"/>
      <c r="AQ361" s="902"/>
      <c r="AR361" s="902"/>
    </row>
    <row r="362" spans="1:44" ht="4.5" customHeight="1" x14ac:dyDescent="0.3">
      <c r="A362" s="13"/>
      <c r="B362" s="60"/>
      <c r="C362" s="31"/>
      <c r="D362" s="31"/>
      <c r="E362" s="32"/>
      <c r="F362" s="33"/>
      <c r="G362" s="31"/>
      <c r="H362" s="31"/>
      <c r="I362" s="31"/>
      <c r="J362" s="215"/>
      <c r="K362" s="214"/>
      <c r="L362" s="214"/>
      <c r="M362" s="214"/>
      <c r="N362" s="214"/>
      <c r="O362" s="214"/>
      <c r="P362" s="214"/>
      <c r="Q362" s="214"/>
      <c r="R362" s="214"/>
      <c r="S362" s="214"/>
      <c r="T362" s="214"/>
      <c r="U362" s="214"/>
      <c r="V362" s="214"/>
      <c r="W362" s="214"/>
      <c r="X362" s="214"/>
      <c r="Y362" s="214"/>
      <c r="Z362" s="214"/>
      <c r="AA362" s="214"/>
      <c r="AB362" s="214"/>
      <c r="AC362" s="214"/>
      <c r="AD362" s="214"/>
      <c r="AE362" s="214"/>
      <c r="AF362" s="214"/>
      <c r="AG362" s="214"/>
      <c r="AH362" s="214"/>
      <c r="AI362" s="214"/>
      <c r="AJ362" s="214"/>
      <c r="AK362" s="214"/>
      <c r="AL362" s="214"/>
      <c r="AM362" s="214"/>
      <c r="AN362" s="214"/>
      <c r="AO362" s="214"/>
      <c r="AP362" s="214"/>
      <c r="AQ362" s="214"/>
      <c r="AR362" s="214"/>
    </row>
    <row r="363" spans="1:44" x14ac:dyDescent="0.3">
      <c r="A363" s="13" t="s">
        <v>51</v>
      </c>
      <c r="B363" s="60"/>
      <c r="C363" s="31"/>
      <c r="D363" s="31"/>
      <c r="E363" s="34"/>
      <c r="F363" s="31"/>
      <c r="G363" s="31"/>
      <c r="H363" s="31"/>
      <c r="I363" s="31"/>
      <c r="J363" s="215"/>
      <c r="K363" s="214"/>
      <c r="L363" s="902" t="s">
        <v>1268</v>
      </c>
      <c r="M363" s="902"/>
      <c r="N363" s="902"/>
      <c r="O363" s="902"/>
      <c r="P363" s="902"/>
      <c r="Q363" s="902"/>
      <c r="R363" s="902"/>
      <c r="S363" s="902"/>
      <c r="T363" s="902"/>
      <c r="U363" s="902"/>
      <c r="V363" s="902"/>
      <c r="W363" s="902"/>
      <c r="X363" s="902"/>
      <c r="Y363" s="902"/>
      <c r="Z363" s="902"/>
      <c r="AA363" s="902"/>
      <c r="AB363" s="902"/>
      <c r="AC363" s="902"/>
      <c r="AD363" s="902"/>
      <c r="AE363" s="902"/>
      <c r="AF363" s="902"/>
      <c r="AG363" s="902"/>
      <c r="AH363" s="902"/>
      <c r="AI363" s="902"/>
      <c r="AJ363" s="902"/>
      <c r="AK363" s="902"/>
      <c r="AL363" s="902"/>
      <c r="AM363" s="902"/>
      <c r="AN363" s="902"/>
      <c r="AO363" s="902"/>
      <c r="AP363" s="902"/>
      <c r="AQ363" s="902"/>
      <c r="AR363" s="902"/>
    </row>
    <row r="364" spans="1:44" ht="4.5" customHeight="1" x14ac:dyDescent="0.3">
      <c r="A364" s="13"/>
      <c r="B364" s="60"/>
      <c r="C364" s="31"/>
      <c r="D364" s="31"/>
      <c r="E364" s="34"/>
      <c r="F364" s="31"/>
      <c r="G364" s="31"/>
      <c r="H364" s="31"/>
      <c r="I364" s="31"/>
      <c r="J364" s="215"/>
      <c r="K364" s="214"/>
      <c r="L364" s="214"/>
      <c r="M364" s="214"/>
      <c r="N364" s="214"/>
      <c r="O364" s="214"/>
      <c r="P364" s="214"/>
      <c r="Q364" s="214"/>
      <c r="R364" s="214"/>
      <c r="S364" s="214"/>
      <c r="T364" s="214"/>
      <c r="U364" s="214"/>
      <c r="V364" s="214"/>
      <c r="W364" s="214"/>
      <c r="X364" s="214"/>
      <c r="Y364" s="214"/>
      <c r="Z364" s="214"/>
      <c r="AA364" s="214"/>
      <c r="AB364" s="214"/>
      <c r="AC364" s="214"/>
      <c r="AD364" s="214"/>
      <c r="AE364" s="214"/>
      <c r="AF364" s="214"/>
      <c r="AG364" s="214"/>
      <c r="AH364" s="214"/>
      <c r="AI364" s="214"/>
      <c r="AJ364" s="214"/>
      <c r="AK364" s="214"/>
      <c r="AL364" s="214"/>
      <c r="AM364" s="214"/>
      <c r="AN364" s="214"/>
      <c r="AO364" s="214"/>
      <c r="AP364" s="214"/>
      <c r="AQ364" s="214"/>
      <c r="AR364" s="214"/>
    </row>
    <row r="365" spans="1:44" x14ac:dyDescent="0.3">
      <c r="A365" s="13" t="s">
        <v>52</v>
      </c>
      <c r="B365" s="60"/>
      <c r="C365" s="31"/>
      <c r="D365" s="31"/>
      <c r="E365" s="32"/>
      <c r="F365" s="33"/>
      <c r="G365" s="31"/>
      <c r="H365" s="31"/>
      <c r="I365" s="31"/>
      <c r="J365" s="215"/>
      <c r="K365" s="214"/>
      <c r="L365" s="902" t="s">
        <v>1269</v>
      </c>
      <c r="M365" s="902"/>
      <c r="N365" s="902"/>
      <c r="O365" s="902"/>
      <c r="P365" s="902"/>
      <c r="Q365" s="902"/>
      <c r="R365" s="902"/>
      <c r="S365" s="902"/>
      <c r="T365" s="902"/>
      <c r="U365" s="902"/>
      <c r="V365" s="902"/>
      <c r="W365" s="902"/>
      <c r="X365" s="902"/>
      <c r="Y365" s="902"/>
      <c r="Z365" s="902"/>
      <c r="AA365" s="902"/>
      <c r="AB365" s="902"/>
      <c r="AC365" s="902"/>
      <c r="AD365" s="902"/>
      <c r="AE365" s="902"/>
      <c r="AF365" s="902"/>
      <c r="AG365" s="902"/>
      <c r="AH365" s="902"/>
      <c r="AI365" s="902"/>
      <c r="AJ365" s="902"/>
      <c r="AK365" s="902"/>
      <c r="AL365" s="902"/>
      <c r="AM365" s="902"/>
      <c r="AN365" s="902"/>
      <c r="AO365" s="902"/>
      <c r="AP365" s="902"/>
      <c r="AQ365" s="902"/>
      <c r="AR365" s="902"/>
    </row>
    <row r="366" spans="1:44" ht="4.5" customHeight="1" x14ac:dyDescent="0.3">
      <c r="A366" s="13"/>
      <c r="B366" s="60"/>
      <c r="C366" s="1"/>
      <c r="D366" s="1"/>
      <c r="E366" s="35"/>
      <c r="F366" s="1"/>
      <c r="G366" s="1"/>
      <c r="H366" s="1"/>
      <c r="I366" s="1"/>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c r="AF366" s="214"/>
      <c r="AG366" s="214"/>
      <c r="AH366" s="214"/>
      <c r="AI366" s="214"/>
      <c r="AJ366" s="214"/>
      <c r="AK366" s="214"/>
      <c r="AL366" s="214"/>
      <c r="AM366" s="214"/>
      <c r="AN366" s="214"/>
      <c r="AO366" s="214"/>
      <c r="AP366" s="214"/>
      <c r="AQ366" s="214"/>
      <c r="AR366" s="214"/>
    </row>
    <row r="367" spans="1:44" x14ac:dyDescent="0.3">
      <c r="A367" s="13" t="s">
        <v>53</v>
      </c>
      <c r="B367" s="60"/>
      <c r="C367" s="1"/>
      <c r="D367" s="1"/>
      <c r="E367" s="11"/>
      <c r="F367" s="3"/>
      <c r="G367" s="1"/>
      <c r="H367" s="1"/>
      <c r="I367" s="1"/>
      <c r="J367" s="214"/>
      <c r="K367" s="214"/>
      <c r="L367" s="902" t="s">
        <v>1270</v>
      </c>
      <c r="M367" s="902"/>
      <c r="N367" s="902"/>
      <c r="O367" s="902"/>
      <c r="P367" s="902"/>
      <c r="Q367" s="902"/>
      <c r="R367" s="902"/>
      <c r="S367" s="902"/>
      <c r="T367" s="902"/>
      <c r="U367" s="902"/>
      <c r="V367" s="902"/>
      <c r="W367" s="902"/>
      <c r="X367" s="902"/>
      <c r="Y367" s="902"/>
      <c r="Z367" s="902"/>
      <c r="AA367" s="902"/>
      <c r="AB367" s="902"/>
      <c r="AC367" s="902"/>
      <c r="AD367" s="902"/>
      <c r="AE367" s="902"/>
      <c r="AF367" s="902"/>
      <c r="AG367" s="902"/>
      <c r="AH367" s="902"/>
      <c r="AI367" s="902"/>
      <c r="AJ367" s="902"/>
      <c r="AK367" s="902"/>
      <c r="AL367" s="902"/>
      <c r="AM367" s="902"/>
      <c r="AN367" s="902"/>
      <c r="AO367" s="902"/>
      <c r="AP367" s="902"/>
      <c r="AQ367" s="902"/>
      <c r="AR367" s="902"/>
    </row>
    <row r="368" spans="1:44" ht="4.5" customHeight="1" x14ac:dyDescent="0.3">
      <c r="A368" s="13"/>
      <c r="B368" s="60"/>
      <c r="C368" s="1"/>
      <c r="D368" s="1"/>
      <c r="E368" s="11"/>
      <c r="F368" s="1"/>
      <c r="G368" s="1"/>
      <c r="H368" s="1"/>
      <c r="I368" s="1"/>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c r="AF368" s="214"/>
      <c r="AG368" s="214"/>
      <c r="AH368" s="214"/>
      <c r="AI368" s="214"/>
      <c r="AJ368" s="214"/>
      <c r="AK368" s="214"/>
      <c r="AL368" s="214"/>
      <c r="AM368" s="214"/>
      <c r="AN368" s="214"/>
      <c r="AO368" s="214"/>
      <c r="AP368" s="214"/>
      <c r="AQ368" s="214"/>
      <c r="AR368" s="214"/>
    </row>
    <row r="369" spans="1:44" x14ac:dyDescent="0.3">
      <c r="A369" s="13"/>
      <c r="B369" s="60"/>
      <c r="C369" s="1"/>
      <c r="D369" s="1"/>
      <c r="E369" s="13" t="s">
        <v>700</v>
      </c>
      <c r="G369" s="1"/>
      <c r="H369" s="1"/>
      <c r="I369" s="1"/>
      <c r="J369" s="706" t="str">
        <f>IF(calculations!M81,"describe corrective action proposed to correct any Red Flag or Yellow Flag ranking",IF(calculations!N81,"describe corrective action proposed to correct any Red Flag or Yellow Flag ranking",""))</f>
        <v/>
      </c>
      <c r="K369" s="707"/>
      <c r="L369" s="707"/>
      <c r="M369" s="707"/>
      <c r="N369" s="707"/>
      <c r="O369" s="707"/>
      <c r="P369" s="707"/>
      <c r="Q369" s="707"/>
      <c r="R369" s="707"/>
      <c r="S369" s="707"/>
      <c r="T369" s="707"/>
      <c r="U369" s="707"/>
      <c r="V369" s="707"/>
      <c r="W369" s="707"/>
      <c r="X369" s="707"/>
      <c r="Y369" s="707"/>
      <c r="Z369" s="707"/>
      <c r="AA369" s="707"/>
      <c r="AB369" s="707"/>
      <c r="AC369" s="707"/>
      <c r="AD369" s="707"/>
      <c r="AE369" s="707"/>
      <c r="AF369" s="707"/>
      <c r="AG369" s="707"/>
      <c r="AH369" s="707"/>
      <c r="AI369" s="707"/>
      <c r="AJ369" s="707"/>
      <c r="AK369" s="707"/>
      <c r="AL369" s="707"/>
      <c r="AM369" s="707"/>
      <c r="AN369" s="707"/>
      <c r="AO369" s="707"/>
      <c r="AP369" s="707"/>
      <c r="AQ369" s="707"/>
      <c r="AR369" s="708"/>
    </row>
    <row r="370" spans="1:44" ht="4.5" customHeight="1" x14ac:dyDescent="0.3">
      <c r="A370" s="13"/>
      <c r="B370" s="60"/>
      <c r="C370" s="1"/>
      <c r="D370" s="1"/>
      <c r="E370" s="1"/>
      <c r="G370" s="38"/>
      <c r="H370" s="1"/>
      <c r="I370" s="1"/>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c r="AF370" s="214"/>
      <c r="AG370" s="214"/>
      <c r="AH370" s="214"/>
      <c r="AI370" s="214"/>
      <c r="AJ370" s="214"/>
      <c r="AK370" s="214"/>
      <c r="AL370" s="214"/>
      <c r="AM370" s="214"/>
      <c r="AN370" s="214"/>
      <c r="AO370" s="214"/>
      <c r="AP370" s="214"/>
      <c r="AQ370" s="214"/>
      <c r="AR370" s="214"/>
    </row>
    <row r="371" spans="1:44" x14ac:dyDescent="0.3">
      <c r="A371" s="13"/>
      <c r="B371" s="60"/>
      <c r="C371" s="1"/>
      <c r="D371" s="1"/>
      <c r="E371" s="55" t="str">
        <f>IF(calculations!M81,"OFE",IF(calculations!N81,"REC",IF(J371&gt;"","REC","")))</f>
        <v/>
      </c>
      <c r="G371" s="38"/>
      <c r="H371" s="1"/>
      <c r="I371" s="1"/>
      <c r="J371" s="724" t="str">
        <f>IF(calculations!M81,CONCATENATE("OFE:  ",Rec!E125),IF(calculations!N81,Rec!E126,""))</f>
        <v/>
      </c>
      <c r="K371" s="725"/>
      <c r="L371" s="725"/>
      <c r="M371" s="725"/>
      <c r="N371" s="725"/>
      <c r="O371" s="725"/>
      <c r="P371" s="725"/>
      <c r="Q371" s="725"/>
      <c r="R371" s="725"/>
      <c r="S371" s="725"/>
      <c r="T371" s="725"/>
      <c r="U371" s="725"/>
      <c r="V371" s="725"/>
      <c r="W371" s="725"/>
      <c r="X371" s="725"/>
      <c r="Y371" s="725"/>
      <c r="Z371" s="725"/>
      <c r="AA371" s="725"/>
      <c r="AB371" s="725"/>
      <c r="AC371" s="725"/>
      <c r="AD371" s="725"/>
      <c r="AE371" s="725"/>
      <c r="AF371" s="725"/>
      <c r="AG371" s="725"/>
      <c r="AH371" s="725"/>
      <c r="AI371" s="725"/>
      <c r="AJ371" s="725"/>
      <c r="AK371" s="725"/>
      <c r="AL371" s="725"/>
      <c r="AM371" s="725"/>
      <c r="AN371" s="725"/>
      <c r="AO371" s="725"/>
      <c r="AP371" s="725"/>
      <c r="AQ371" s="725"/>
      <c r="AR371" s="726"/>
    </row>
    <row r="372" spans="1:44" x14ac:dyDescent="0.3">
      <c r="A372" s="13"/>
      <c r="B372" s="60"/>
      <c r="C372" s="1"/>
      <c r="D372" s="1"/>
      <c r="E372" s="11"/>
      <c r="F372" s="37"/>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ht="14.15" x14ac:dyDescent="0.35">
      <c r="A373" s="232" t="s">
        <v>867</v>
      </c>
      <c r="B373" s="60"/>
      <c r="C373" s="1"/>
      <c r="D373" s="30" t="s">
        <v>54</v>
      </c>
      <c r="E373" s="1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ht="4.5" customHeight="1" x14ac:dyDescent="0.3">
      <c r="A374" s="13"/>
      <c r="B374" s="60"/>
      <c r="C374" s="1"/>
      <c r="D374" s="1"/>
      <c r="E374" s="1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ht="13.5" customHeight="1" x14ac:dyDescent="0.3">
      <c r="A375" s="13" t="s">
        <v>55</v>
      </c>
      <c r="B375" s="60"/>
      <c r="C375" s="31"/>
      <c r="D375" s="31"/>
      <c r="E375" s="32"/>
      <c r="F375" s="33"/>
      <c r="G375" s="31"/>
      <c r="H375" s="31"/>
      <c r="I375" s="31"/>
      <c r="J375" s="215"/>
      <c r="K375" s="214"/>
      <c r="L375" s="902" t="s">
        <v>1271</v>
      </c>
      <c r="M375" s="902"/>
      <c r="N375" s="902"/>
      <c r="O375" s="902"/>
      <c r="P375" s="902"/>
      <c r="Q375" s="902"/>
      <c r="R375" s="902"/>
      <c r="S375" s="902"/>
      <c r="T375" s="902"/>
      <c r="U375" s="902"/>
      <c r="V375" s="902"/>
      <c r="W375" s="902"/>
      <c r="X375" s="902"/>
      <c r="Y375" s="902"/>
      <c r="Z375" s="902"/>
      <c r="AA375" s="902"/>
      <c r="AB375" s="902"/>
      <c r="AC375" s="902"/>
      <c r="AD375" s="902"/>
      <c r="AE375" s="902"/>
      <c r="AF375" s="902"/>
      <c r="AG375" s="902"/>
      <c r="AH375" s="902"/>
      <c r="AI375" s="902"/>
      <c r="AJ375" s="902"/>
      <c r="AK375" s="902"/>
      <c r="AL375" s="902"/>
      <c r="AM375" s="902"/>
      <c r="AN375" s="902"/>
      <c r="AO375" s="902"/>
      <c r="AP375" s="902"/>
      <c r="AQ375" s="902"/>
      <c r="AR375" s="902"/>
    </row>
    <row r="376" spans="1:44" ht="4.5" customHeight="1" x14ac:dyDescent="0.3">
      <c r="A376" s="13"/>
      <c r="B376" s="60"/>
      <c r="C376" s="31"/>
      <c r="D376" s="31"/>
      <c r="E376" s="34"/>
      <c r="F376" s="31"/>
      <c r="G376" s="31"/>
      <c r="H376" s="31"/>
      <c r="I376" s="31"/>
      <c r="J376" s="215"/>
      <c r="K376" s="214"/>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row>
    <row r="377" spans="1:44" ht="39" customHeight="1" x14ac:dyDescent="0.3">
      <c r="A377" s="13" t="s">
        <v>56</v>
      </c>
      <c r="B377" s="60"/>
      <c r="C377" s="31"/>
      <c r="D377" s="31"/>
      <c r="E377" s="32"/>
      <c r="F377" s="33"/>
      <c r="G377" s="31"/>
      <c r="H377" s="31"/>
      <c r="I377" s="31"/>
      <c r="J377" s="215"/>
      <c r="K377" s="214"/>
      <c r="L377" s="902" t="s">
        <v>1272</v>
      </c>
      <c r="M377" s="902"/>
      <c r="N377" s="902"/>
      <c r="O377" s="902"/>
      <c r="P377" s="902"/>
      <c r="Q377" s="902"/>
      <c r="R377" s="902"/>
      <c r="S377" s="902"/>
      <c r="T377" s="902"/>
      <c r="U377" s="902"/>
      <c r="V377" s="902"/>
      <c r="W377" s="902"/>
      <c r="X377" s="902"/>
      <c r="Y377" s="902"/>
      <c r="Z377" s="902"/>
      <c r="AA377" s="902"/>
      <c r="AB377" s="902"/>
      <c r="AC377" s="902"/>
      <c r="AD377" s="902"/>
      <c r="AE377" s="902"/>
      <c r="AF377" s="902"/>
      <c r="AG377" s="902"/>
      <c r="AH377" s="902"/>
      <c r="AI377" s="902"/>
      <c r="AJ377" s="902"/>
      <c r="AK377" s="902"/>
      <c r="AL377" s="902"/>
      <c r="AM377" s="902"/>
      <c r="AN377" s="902"/>
      <c r="AO377" s="902"/>
      <c r="AP377" s="902"/>
      <c r="AQ377" s="902"/>
      <c r="AR377" s="902"/>
    </row>
    <row r="378" spans="1:44" ht="4.5" customHeight="1" x14ac:dyDescent="0.3">
      <c r="A378" s="13"/>
      <c r="B378" s="60"/>
      <c r="C378" s="31"/>
      <c r="D378" s="31"/>
      <c r="E378" s="32"/>
      <c r="F378" s="33"/>
      <c r="G378" s="31"/>
      <c r="H378" s="31"/>
      <c r="I378" s="31"/>
      <c r="J378" s="215"/>
      <c r="K378" s="214"/>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row>
    <row r="379" spans="1:44" ht="27" customHeight="1" x14ac:dyDescent="0.3">
      <c r="A379" s="13" t="s">
        <v>57</v>
      </c>
      <c r="B379" s="60"/>
      <c r="C379" s="31"/>
      <c r="D379" s="31"/>
      <c r="E379" s="34"/>
      <c r="F379" s="31"/>
      <c r="G379" s="31"/>
      <c r="H379" s="31"/>
      <c r="I379" s="31"/>
      <c r="J379" s="215"/>
      <c r="K379" s="214"/>
      <c r="L379" s="902" t="s">
        <v>1273</v>
      </c>
      <c r="M379" s="902"/>
      <c r="N379" s="902"/>
      <c r="O379" s="902"/>
      <c r="P379" s="902"/>
      <c r="Q379" s="902"/>
      <c r="R379" s="902"/>
      <c r="S379" s="902"/>
      <c r="T379" s="902"/>
      <c r="U379" s="902"/>
      <c r="V379" s="902"/>
      <c r="W379" s="902"/>
      <c r="X379" s="902"/>
      <c r="Y379" s="902"/>
      <c r="Z379" s="902"/>
      <c r="AA379" s="902"/>
      <c r="AB379" s="902"/>
      <c r="AC379" s="902"/>
      <c r="AD379" s="902"/>
      <c r="AE379" s="902"/>
      <c r="AF379" s="902"/>
      <c r="AG379" s="902"/>
      <c r="AH379" s="902"/>
      <c r="AI379" s="902"/>
      <c r="AJ379" s="902"/>
      <c r="AK379" s="902"/>
      <c r="AL379" s="902"/>
      <c r="AM379" s="902"/>
      <c r="AN379" s="902"/>
      <c r="AO379" s="902"/>
      <c r="AP379" s="902"/>
      <c r="AQ379" s="902"/>
      <c r="AR379" s="902"/>
    </row>
    <row r="380" spans="1:44" ht="4.5" customHeight="1" x14ac:dyDescent="0.3">
      <c r="A380" s="13"/>
      <c r="B380" s="60"/>
      <c r="C380" s="31"/>
      <c r="D380" s="31"/>
      <c r="E380" s="34"/>
      <c r="F380" s="31"/>
      <c r="G380" s="31"/>
      <c r="H380" s="31"/>
      <c r="I380" s="31"/>
      <c r="J380" s="215"/>
      <c r="K380" s="214"/>
      <c r="L380" s="231"/>
      <c r="M380" s="231"/>
      <c r="N380" s="231"/>
      <c r="O380" s="231"/>
      <c r="P380" s="231"/>
      <c r="Q380" s="231"/>
      <c r="R380" s="231"/>
      <c r="S380" s="231"/>
      <c r="T380" s="231"/>
      <c r="U380" s="231"/>
      <c r="V380" s="231"/>
      <c r="W380" s="231"/>
      <c r="X380" s="231"/>
      <c r="Y380" s="231"/>
      <c r="Z380" s="231"/>
      <c r="AA380" s="231"/>
      <c r="AB380" s="231"/>
      <c r="AC380" s="231"/>
      <c r="AD380" s="231"/>
      <c r="AE380" s="231"/>
      <c r="AF380" s="231"/>
      <c r="AG380" s="231"/>
      <c r="AH380" s="231"/>
      <c r="AI380" s="231"/>
      <c r="AJ380" s="231"/>
      <c r="AK380" s="231"/>
      <c r="AL380" s="231"/>
      <c r="AM380" s="231"/>
      <c r="AN380" s="231"/>
      <c r="AO380" s="231"/>
      <c r="AP380" s="231"/>
      <c r="AQ380" s="231"/>
      <c r="AR380" s="231"/>
    </row>
    <row r="381" spans="1:44" x14ac:dyDescent="0.3">
      <c r="A381" s="13" t="s">
        <v>58</v>
      </c>
      <c r="B381" s="60"/>
      <c r="C381" s="31"/>
      <c r="D381" s="31"/>
      <c r="E381" s="32"/>
      <c r="F381" s="33"/>
      <c r="G381" s="31"/>
      <c r="H381" s="31"/>
      <c r="I381" s="31"/>
      <c r="J381" s="215"/>
      <c r="K381" s="214"/>
      <c r="L381" s="902" t="s">
        <v>1274</v>
      </c>
      <c r="M381" s="902"/>
      <c r="N381" s="902"/>
      <c r="O381" s="902"/>
      <c r="P381" s="902"/>
      <c r="Q381" s="902"/>
      <c r="R381" s="902"/>
      <c r="S381" s="902"/>
      <c r="T381" s="902"/>
      <c r="U381" s="902"/>
      <c r="V381" s="902"/>
      <c r="W381" s="902"/>
      <c r="X381" s="902"/>
      <c r="Y381" s="902"/>
      <c r="Z381" s="902"/>
      <c r="AA381" s="902"/>
      <c r="AB381" s="902"/>
      <c r="AC381" s="902"/>
      <c r="AD381" s="902"/>
      <c r="AE381" s="902"/>
      <c r="AF381" s="902"/>
      <c r="AG381" s="902"/>
      <c r="AH381" s="902"/>
      <c r="AI381" s="902"/>
      <c r="AJ381" s="902"/>
      <c r="AK381" s="902"/>
      <c r="AL381" s="902"/>
      <c r="AM381" s="902"/>
      <c r="AN381" s="902"/>
      <c r="AO381" s="902"/>
      <c r="AP381" s="902"/>
      <c r="AQ381" s="902"/>
      <c r="AR381" s="902"/>
    </row>
    <row r="382" spans="1:44" ht="4.5" customHeight="1" x14ac:dyDescent="0.3">
      <c r="A382" s="13"/>
      <c r="B382" s="60"/>
      <c r="C382" s="1"/>
      <c r="D382" s="1"/>
      <c r="E382" s="35"/>
      <c r="F382" s="1"/>
      <c r="G382" s="1"/>
      <c r="H382" s="1"/>
      <c r="I382" s="1"/>
      <c r="J382" s="214"/>
      <c r="K382" s="214"/>
      <c r="L382" s="231"/>
      <c r="M382" s="231"/>
      <c r="N382" s="231"/>
      <c r="O382" s="231"/>
      <c r="P382" s="231"/>
      <c r="Q382" s="231"/>
      <c r="R382" s="231"/>
      <c r="S382" s="231"/>
      <c r="T382" s="231"/>
      <c r="U382" s="231"/>
      <c r="V382" s="231"/>
      <c r="W382" s="231"/>
      <c r="X382" s="231"/>
      <c r="Y382" s="231"/>
      <c r="Z382" s="231"/>
      <c r="AA382" s="231"/>
      <c r="AB382" s="231"/>
      <c r="AC382" s="231"/>
      <c r="AD382" s="231"/>
      <c r="AE382" s="231"/>
      <c r="AF382" s="231"/>
      <c r="AG382" s="231"/>
      <c r="AH382" s="231"/>
      <c r="AI382" s="231"/>
      <c r="AJ382" s="231"/>
      <c r="AK382" s="231"/>
      <c r="AL382" s="231"/>
      <c r="AM382" s="231"/>
      <c r="AN382" s="231"/>
      <c r="AO382" s="231"/>
      <c r="AP382" s="231"/>
      <c r="AQ382" s="231"/>
      <c r="AR382" s="231"/>
    </row>
    <row r="383" spans="1:44" x14ac:dyDescent="0.3">
      <c r="A383" s="13" t="s">
        <v>59</v>
      </c>
      <c r="B383" s="60"/>
      <c r="C383" s="1"/>
      <c r="D383" s="1"/>
      <c r="E383" s="11"/>
      <c r="F383" s="3"/>
      <c r="G383" s="1"/>
      <c r="H383" s="1"/>
      <c r="I383" s="1"/>
      <c r="J383" s="214"/>
      <c r="K383" s="214"/>
      <c r="L383" s="902" t="s">
        <v>1275</v>
      </c>
      <c r="M383" s="902"/>
      <c r="N383" s="902"/>
      <c r="O383" s="902"/>
      <c r="P383" s="902"/>
      <c r="Q383" s="902"/>
      <c r="R383" s="902"/>
      <c r="S383" s="902"/>
      <c r="T383" s="902"/>
      <c r="U383" s="902"/>
      <c r="V383" s="902"/>
      <c r="W383" s="902"/>
      <c r="X383" s="902"/>
      <c r="Y383" s="902"/>
      <c r="Z383" s="902"/>
      <c r="AA383" s="902"/>
      <c r="AB383" s="902"/>
      <c r="AC383" s="902"/>
      <c r="AD383" s="902"/>
      <c r="AE383" s="902"/>
      <c r="AF383" s="902"/>
      <c r="AG383" s="902"/>
      <c r="AH383" s="902"/>
      <c r="AI383" s="902"/>
      <c r="AJ383" s="902"/>
      <c r="AK383" s="902"/>
      <c r="AL383" s="902"/>
      <c r="AM383" s="902"/>
      <c r="AN383" s="902"/>
      <c r="AO383" s="902"/>
      <c r="AP383" s="902"/>
      <c r="AQ383" s="902"/>
      <c r="AR383" s="902"/>
    </row>
    <row r="384" spans="1:44" ht="4.5" customHeight="1" x14ac:dyDescent="0.3">
      <c r="A384" s="13"/>
      <c r="B384" s="60"/>
      <c r="C384" s="1"/>
      <c r="D384" s="1"/>
      <c r="E384" s="11"/>
      <c r="F384" s="1"/>
      <c r="G384" s="1"/>
      <c r="H384" s="1"/>
      <c r="I384" s="1"/>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row>
    <row r="385" spans="1:44" x14ac:dyDescent="0.3">
      <c r="A385" s="13"/>
      <c r="B385" s="60"/>
      <c r="C385" s="1"/>
      <c r="D385" s="1"/>
      <c r="E385" s="13" t="s">
        <v>700</v>
      </c>
      <c r="G385" s="1"/>
      <c r="H385" s="1"/>
      <c r="I385" s="1"/>
      <c r="J385" s="706" t="str">
        <f>IF(calculations!M82,"describe corrective action proposed to correct any Red Flag or Yellow Flag ranking",IF(calculations!N82,"describe corrective action proposed to correct any Red Flag or Yellow Flag ranking",""))</f>
        <v/>
      </c>
      <c r="K385" s="707"/>
      <c r="L385" s="707"/>
      <c r="M385" s="707"/>
      <c r="N385" s="707"/>
      <c r="O385" s="707"/>
      <c r="P385" s="707"/>
      <c r="Q385" s="707"/>
      <c r="R385" s="707"/>
      <c r="S385" s="707"/>
      <c r="T385" s="707"/>
      <c r="U385" s="707"/>
      <c r="V385" s="707"/>
      <c r="W385" s="707"/>
      <c r="X385" s="707"/>
      <c r="Y385" s="707"/>
      <c r="Z385" s="707"/>
      <c r="AA385" s="707"/>
      <c r="AB385" s="707"/>
      <c r="AC385" s="707"/>
      <c r="AD385" s="707"/>
      <c r="AE385" s="707"/>
      <c r="AF385" s="707"/>
      <c r="AG385" s="707"/>
      <c r="AH385" s="707"/>
      <c r="AI385" s="707"/>
      <c r="AJ385" s="707"/>
      <c r="AK385" s="707"/>
      <c r="AL385" s="707"/>
      <c r="AM385" s="707"/>
      <c r="AN385" s="707"/>
      <c r="AO385" s="707"/>
      <c r="AP385" s="707"/>
      <c r="AQ385" s="707"/>
      <c r="AR385" s="708"/>
    </row>
    <row r="386" spans="1:44" ht="4.5" customHeight="1" x14ac:dyDescent="0.3">
      <c r="A386" s="13"/>
      <c r="B386" s="60"/>
      <c r="C386" s="1"/>
      <c r="D386" s="1"/>
      <c r="E386" s="1"/>
      <c r="G386" s="38"/>
      <c r="H386" s="1"/>
      <c r="I386" s="1"/>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c r="AF386" s="214"/>
      <c r="AG386" s="214"/>
      <c r="AH386" s="214"/>
      <c r="AI386" s="214"/>
      <c r="AJ386" s="214"/>
      <c r="AK386" s="214"/>
      <c r="AL386" s="214"/>
      <c r="AM386" s="214"/>
      <c r="AN386" s="214"/>
      <c r="AO386" s="214"/>
      <c r="AP386" s="214"/>
      <c r="AQ386" s="214"/>
      <c r="AR386" s="214"/>
    </row>
    <row r="387" spans="1:44" ht="40.5" customHeight="1" x14ac:dyDescent="0.3">
      <c r="A387" s="13"/>
      <c r="B387" s="60"/>
      <c r="C387" s="1"/>
      <c r="D387" s="1"/>
      <c r="E387" s="55" t="str">
        <f>IF(J387&gt;"","REC",IF(calculations!M82,"REC",IF(calculations!N82,"REC","")))</f>
        <v/>
      </c>
      <c r="G387" s="38"/>
      <c r="H387" s="1"/>
      <c r="I387" s="1"/>
      <c r="J387" s="724" t="str">
        <f>IF(calculations!M82,CONCATENATE("IF SIGNIFICANT:  ",Rec!E127),IF(calculations!N82,CONCATENATE("IF SIGNIFICANT:  ",Rec!E128),""))</f>
        <v/>
      </c>
      <c r="K387" s="725"/>
      <c r="L387" s="725"/>
      <c r="M387" s="725"/>
      <c r="N387" s="725"/>
      <c r="O387" s="725"/>
      <c r="P387" s="725"/>
      <c r="Q387" s="725"/>
      <c r="R387" s="725"/>
      <c r="S387" s="725"/>
      <c r="T387" s="725"/>
      <c r="U387" s="725"/>
      <c r="V387" s="725"/>
      <c r="W387" s="725"/>
      <c r="X387" s="725"/>
      <c r="Y387" s="725"/>
      <c r="Z387" s="725"/>
      <c r="AA387" s="725"/>
      <c r="AB387" s="725"/>
      <c r="AC387" s="725"/>
      <c r="AD387" s="725"/>
      <c r="AE387" s="725"/>
      <c r="AF387" s="725"/>
      <c r="AG387" s="725"/>
      <c r="AH387" s="725"/>
      <c r="AI387" s="725"/>
      <c r="AJ387" s="725"/>
      <c r="AK387" s="725"/>
      <c r="AL387" s="725"/>
      <c r="AM387" s="725"/>
      <c r="AN387" s="725"/>
      <c r="AO387" s="725"/>
      <c r="AP387" s="725"/>
      <c r="AQ387" s="725"/>
      <c r="AR387" s="726"/>
    </row>
    <row r="388" spans="1:44" x14ac:dyDescent="0.3">
      <c r="A388" s="13"/>
      <c r="B388" s="60"/>
      <c r="C388" s="1"/>
      <c r="D388" s="1"/>
      <c r="E388" s="11"/>
      <c r="F388" s="37"/>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ht="14.15" x14ac:dyDescent="0.35">
      <c r="A389" s="232" t="s">
        <v>868</v>
      </c>
      <c r="B389" s="60"/>
      <c r="C389" s="1"/>
      <c r="D389" s="30" t="s">
        <v>60</v>
      </c>
      <c r="E389" s="1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ht="4.5" customHeight="1" x14ac:dyDescent="0.3">
      <c r="A390" s="13"/>
      <c r="B390" s="60"/>
      <c r="C390" s="1"/>
      <c r="D390" s="1"/>
      <c r="E390" s="1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3">
      <c r="A391" s="13" t="s">
        <v>61</v>
      </c>
      <c r="B391" s="60"/>
      <c r="C391" s="31"/>
      <c r="D391" s="31"/>
      <c r="E391" s="32"/>
      <c r="F391" s="33"/>
      <c r="G391" s="31"/>
      <c r="H391" s="31"/>
      <c r="I391" s="31"/>
      <c r="J391" s="215"/>
      <c r="K391" s="214"/>
      <c r="L391" s="902" t="s">
        <v>1276</v>
      </c>
      <c r="M391" s="902"/>
      <c r="N391" s="902"/>
      <c r="O391" s="902"/>
      <c r="P391" s="902"/>
      <c r="Q391" s="902"/>
      <c r="R391" s="902"/>
      <c r="S391" s="902"/>
      <c r="T391" s="902"/>
      <c r="U391" s="902"/>
      <c r="V391" s="902"/>
      <c r="W391" s="902"/>
      <c r="X391" s="902"/>
      <c r="Y391" s="902"/>
      <c r="Z391" s="902"/>
      <c r="AA391" s="902"/>
      <c r="AB391" s="902"/>
      <c r="AC391" s="902"/>
      <c r="AD391" s="902"/>
      <c r="AE391" s="902"/>
      <c r="AF391" s="902"/>
      <c r="AG391" s="902"/>
      <c r="AH391" s="902"/>
      <c r="AI391" s="902"/>
      <c r="AJ391" s="902"/>
      <c r="AK391" s="902"/>
      <c r="AL391" s="902"/>
      <c r="AM391" s="902"/>
      <c r="AN391" s="902"/>
      <c r="AO391" s="902"/>
      <c r="AP391" s="902"/>
      <c r="AQ391" s="902"/>
      <c r="AR391" s="902"/>
    </row>
    <row r="392" spans="1:44" ht="4.5" customHeight="1" x14ac:dyDescent="0.3">
      <c r="A392" s="13"/>
      <c r="B392" s="60"/>
      <c r="C392" s="31"/>
      <c r="D392" s="31"/>
      <c r="E392" s="34"/>
      <c r="F392" s="31"/>
      <c r="G392" s="31"/>
      <c r="H392" s="31"/>
      <c r="I392" s="31"/>
      <c r="J392" s="215"/>
      <c r="K392" s="214"/>
      <c r="L392" s="214"/>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c r="AI392" s="214"/>
      <c r="AJ392" s="214"/>
      <c r="AK392" s="214"/>
      <c r="AL392" s="214"/>
      <c r="AM392" s="214"/>
      <c r="AN392" s="214"/>
      <c r="AO392" s="214"/>
      <c r="AP392" s="214"/>
      <c r="AQ392" s="214"/>
      <c r="AR392" s="214"/>
    </row>
    <row r="393" spans="1:44" ht="26.25" customHeight="1" x14ac:dyDescent="0.3">
      <c r="A393" s="13" t="s">
        <v>62</v>
      </c>
      <c r="B393" s="60"/>
      <c r="C393" s="31"/>
      <c r="D393" s="31"/>
      <c r="E393" s="32"/>
      <c r="F393" s="33"/>
      <c r="G393" s="31"/>
      <c r="H393" s="31"/>
      <c r="I393" s="31"/>
      <c r="J393" s="215"/>
      <c r="K393" s="214"/>
      <c r="L393" s="902" t="s">
        <v>1277</v>
      </c>
      <c r="M393" s="902"/>
      <c r="N393" s="902"/>
      <c r="O393" s="902"/>
      <c r="P393" s="902"/>
      <c r="Q393" s="902"/>
      <c r="R393" s="902"/>
      <c r="S393" s="902"/>
      <c r="T393" s="902"/>
      <c r="U393" s="902"/>
      <c r="V393" s="902"/>
      <c r="W393" s="902"/>
      <c r="X393" s="902"/>
      <c r="Y393" s="902"/>
      <c r="Z393" s="902"/>
      <c r="AA393" s="902"/>
      <c r="AB393" s="902"/>
      <c r="AC393" s="902"/>
      <c r="AD393" s="902"/>
      <c r="AE393" s="902"/>
      <c r="AF393" s="902"/>
      <c r="AG393" s="902"/>
      <c r="AH393" s="902"/>
      <c r="AI393" s="902"/>
      <c r="AJ393" s="902"/>
      <c r="AK393" s="902"/>
      <c r="AL393" s="902"/>
      <c r="AM393" s="902"/>
      <c r="AN393" s="902"/>
      <c r="AO393" s="902"/>
      <c r="AP393" s="902"/>
      <c r="AQ393" s="902"/>
      <c r="AR393" s="902"/>
    </row>
    <row r="394" spans="1:44" ht="4.5" customHeight="1" x14ac:dyDescent="0.3">
      <c r="A394" s="13"/>
      <c r="B394" s="60"/>
      <c r="C394" s="31"/>
      <c r="D394" s="31"/>
      <c r="E394" s="32"/>
      <c r="F394" s="33"/>
      <c r="G394" s="31"/>
      <c r="H394" s="31"/>
      <c r="I394" s="31"/>
      <c r="J394" s="215"/>
      <c r="K394" s="214"/>
      <c r="L394" s="214"/>
      <c r="M394" s="214"/>
      <c r="N394" s="214"/>
      <c r="O394" s="214"/>
      <c r="P394" s="214"/>
      <c r="Q394" s="214"/>
      <c r="R394" s="214"/>
      <c r="S394" s="214"/>
      <c r="T394" s="214"/>
      <c r="U394" s="214"/>
      <c r="V394" s="214"/>
      <c r="W394" s="214"/>
      <c r="X394" s="214"/>
      <c r="Y394" s="214"/>
      <c r="Z394" s="214"/>
      <c r="AA394" s="214"/>
      <c r="AB394" s="214"/>
      <c r="AC394" s="214"/>
      <c r="AD394" s="214"/>
      <c r="AE394" s="214"/>
      <c r="AF394" s="214"/>
      <c r="AG394" s="214"/>
      <c r="AH394" s="214"/>
      <c r="AI394" s="214"/>
      <c r="AJ394" s="214"/>
      <c r="AK394" s="214"/>
      <c r="AL394" s="214"/>
      <c r="AM394" s="214"/>
      <c r="AN394" s="214"/>
      <c r="AO394" s="214"/>
      <c r="AP394" s="214"/>
      <c r="AQ394" s="214"/>
      <c r="AR394" s="214"/>
    </row>
    <row r="395" spans="1:44" ht="25.5" customHeight="1" x14ac:dyDescent="0.3">
      <c r="A395" s="13" t="s">
        <v>63</v>
      </c>
      <c r="B395" s="60"/>
      <c r="C395" s="31"/>
      <c r="D395" s="31"/>
      <c r="E395" s="34"/>
      <c r="F395" s="31"/>
      <c r="G395" s="31"/>
      <c r="H395" s="31"/>
      <c r="I395" s="31"/>
      <c r="J395" s="215"/>
      <c r="K395" s="214"/>
      <c r="L395" s="902" t="s">
        <v>1278</v>
      </c>
      <c r="M395" s="902"/>
      <c r="N395" s="902"/>
      <c r="O395" s="902"/>
      <c r="P395" s="902"/>
      <c r="Q395" s="902"/>
      <c r="R395" s="902"/>
      <c r="S395" s="902"/>
      <c r="T395" s="902"/>
      <c r="U395" s="902"/>
      <c r="V395" s="902"/>
      <c r="W395" s="902"/>
      <c r="X395" s="902"/>
      <c r="Y395" s="902"/>
      <c r="Z395" s="902"/>
      <c r="AA395" s="902"/>
      <c r="AB395" s="902"/>
      <c r="AC395" s="902"/>
      <c r="AD395" s="902"/>
      <c r="AE395" s="902"/>
      <c r="AF395" s="902"/>
      <c r="AG395" s="902"/>
      <c r="AH395" s="902"/>
      <c r="AI395" s="902"/>
      <c r="AJ395" s="902"/>
      <c r="AK395" s="902"/>
      <c r="AL395" s="902"/>
      <c r="AM395" s="902"/>
      <c r="AN395" s="902"/>
      <c r="AO395" s="902"/>
      <c r="AP395" s="902"/>
      <c r="AQ395" s="902"/>
      <c r="AR395" s="902"/>
    </row>
    <row r="396" spans="1:44" ht="4.5" customHeight="1" x14ac:dyDescent="0.3">
      <c r="A396" s="13"/>
      <c r="B396" s="60"/>
      <c r="C396" s="31"/>
      <c r="D396" s="31"/>
      <c r="E396" s="34"/>
      <c r="F396" s="31"/>
      <c r="G396" s="31"/>
      <c r="H396" s="31"/>
      <c r="I396" s="31"/>
      <c r="J396" s="215"/>
      <c r="K396" s="214"/>
      <c r="L396" s="214"/>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row>
    <row r="397" spans="1:44" x14ac:dyDescent="0.3">
      <c r="A397" s="13" t="s">
        <v>64</v>
      </c>
      <c r="B397" s="60"/>
      <c r="C397" s="31"/>
      <c r="D397" s="31"/>
      <c r="E397" s="32"/>
      <c r="F397" s="33"/>
      <c r="G397" s="31"/>
      <c r="H397" s="31"/>
      <c r="I397" s="31"/>
      <c r="J397" s="215"/>
      <c r="K397" s="214"/>
      <c r="L397" s="902" t="s">
        <v>1279</v>
      </c>
      <c r="M397" s="902"/>
      <c r="N397" s="902"/>
      <c r="O397" s="902"/>
      <c r="P397" s="902"/>
      <c r="Q397" s="902"/>
      <c r="R397" s="902"/>
      <c r="S397" s="902"/>
      <c r="T397" s="902"/>
      <c r="U397" s="902"/>
      <c r="V397" s="902"/>
      <c r="W397" s="902"/>
      <c r="X397" s="902"/>
      <c r="Y397" s="902"/>
      <c r="Z397" s="902"/>
      <c r="AA397" s="902"/>
      <c r="AB397" s="902"/>
      <c r="AC397" s="902"/>
      <c r="AD397" s="902"/>
      <c r="AE397" s="902"/>
      <c r="AF397" s="902"/>
      <c r="AG397" s="902"/>
      <c r="AH397" s="902"/>
      <c r="AI397" s="902"/>
      <c r="AJ397" s="902"/>
      <c r="AK397" s="902"/>
      <c r="AL397" s="902"/>
      <c r="AM397" s="902"/>
      <c r="AN397" s="902"/>
      <c r="AO397" s="902"/>
      <c r="AP397" s="902"/>
      <c r="AQ397" s="902"/>
      <c r="AR397" s="902"/>
    </row>
    <row r="398" spans="1:44" ht="4.5" customHeight="1" x14ac:dyDescent="0.3">
      <c r="A398" s="13"/>
      <c r="B398" s="60"/>
      <c r="C398" s="1"/>
      <c r="D398" s="1"/>
      <c r="E398" s="35"/>
      <c r="F398" s="1"/>
      <c r="G398" s="1"/>
      <c r="H398" s="1"/>
      <c r="I398" s="1"/>
      <c r="J398" s="214"/>
      <c r="K398" s="214"/>
      <c r="L398" s="902"/>
      <c r="M398" s="902"/>
      <c r="N398" s="902"/>
      <c r="O398" s="902"/>
      <c r="P398" s="902"/>
      <c r="Q398" s="902"/>
      <c r="R398" s="902"/>
      <c r="S398" s="902"/>
      <c r="T398" s="902"/>
      <c r="U398" s="902"/>
      <c r="V398" s="902"/>
      <c r="W398" s="902"/>
      <c r="X398" s="902"/>
      <c r="Y398" s="902"/>
      <c r="Z398" s="902"/>
      <c r="AA398" s="902"/>
      <c r="AB398" s="902"/>
      <c r="AC398" s="902"/>
      <c r="AD398" s="902"/>
      <c r="AE398" s="902"/>
      <c r="AF398" s="902"/>
      <c r="AG398" s="902"/>
      <c r="AH398" s="902"/>
      <c r="AI398" s="902"/>
      <c r="AJ398" s="902"/>
      <c r="AK398" s="902"/>
      <c r="AL398" s="902"/>
      <c r="AM398" s="902"/>
      <c r="AN398" s="902"/>
      <c r="AO398" s="902"/>
      <c r="AP398" s="902"/>
      <c r="AQ398" s="902"/>
      <c r="AR398" s="902"/>
    </row>
    <row r="399" spans="1:44" x14ac:dyDescent="0.3">
      <c r="A399" s="13" t="s">
        <v>65</v>
      </c>
      <c r="B399" s="60"/>
      <c r="C399" s="1"/>
      <c r="D399" s="1"/>
      <c r="E399" s="11"/>
      <c r="F399" s="3"/>
      <c r="G399" s="1"/>
      <c r="H399" s="1"/>
      <c r="I399" s="1"/>
      <c r="J399" s="214"/>
      <c r="K399" s="214"/>
      <c r="L399" s="902" t="s">
        <v>1280</v>
      </c>
      <c r="M399" s="902"/>
      <c r="N399" s="902"/>
      <c r="O399" s="902"/>
      <c r="P399" s="902"/>
      <c r="Q399" s="902"/>
      <c r="R399" s="902"/>
      <c r="S399" s="902"/>
      <c r="T399" s="902"/>
      <c r="U399" s="902"/>
      <c r="V399" s="902"/>
      <c r="W399" s="902"/>
      <c r="X399" s="902"/>
      <c r="Y399" s="902"/>
      <c r="Z399" s="902"/>
      <c r="AA399" s="902"/>
      <c r="AB399" s="902"/>
      <c r="AC399" s="902"/>
      <c r="AD399" s="902"/>
      <c r="AE399" s="902"/>
      <c r="AF399" s="902"/>
      <c r="AG399" s="902"/>
      <c r="AH399" s="902"/>
      <c r="AI399" s="902"/>
      <c r="AJ399" s="902"/>
      <c r="AK399" s="902"/>
      <c r="AL399" s="902"/>
      <c r="AM399" s="902"/>
      <c r="AN399" s="902"/>
      <c r="AO399" s="902"/>
      <c r="AP399" s="902"/>
      <c r="AQ399" s="902"/>
      <c r="AR399" s="902"/>
    </row>
    <row r="400" spans="1:44" ht="4.5" customHeight="1" x14ac:dyDescent="0.3">
      <c r="A400" s="13"/>
      <c r="B400" s="60"/>
      <c r="C400" s="1"/>
      <c r="D400" s="1"/>
      <c r="E400" s="11"/>
      <c r="F400" s="1"/>
      <c r="G400" s="1"/>
      <c r="H400" s="1"/>
      <c r="I400" s="1"/>
      <c r="J400" s="214"/>
      <c r="K400" s="214"/>
      <c r="L400" s="214"/>
      <c r="M400" s="214"/>
      <c r="N400" s="214"/>
      <c r="O400" s="214"/>
      <c r="P400" s="214"/>
      <c r="Q400" s="214"/>
      <c r="R400" s="214"/>
      <c r="S400" s="214"/>
      <c r="T400" s="214"/>
      <c r="U400" s="214"/>
      <c r="V400" s="214"/>
      <c r="W400" s="214"/>
      <c r="X400" s="214"/>
      <c r="Y400" s="214"/>
      <c r="Z400" s="214"/>
      <c r="AA400" s="214"/>
      <c r="AB400" s="214"/>
      <c r="AC400" s="214"/>
      <c r="AD400" s="214"/>
      <c r="AE400" s="214"/>
      <c r="AF400" s="214"/>
      <c r="AG400" s="214"/>
      <c r="AH400" s="214"/>
      <c r="AI400" s="214"/>
      <c r="AJ400" s="214"/>
      <c r="AK400" s="214"/>
      <c r="AL400" s="214"/>
      <c r="AM400" s="214"/>
      <c r="AN400" s="214"/>
      <c r="AO400" s="214"/>
      <c r="AP400" s="214"/>
      <c r="AQ400" s="214"/>
      <c r="AR400" s="214"/>
    </row>
    <row r="401" spans="1:44" x14ac:dyDescent="0.3">
      <c r="A401" s="13"/>
      <c r="B401" s="60"/>
      <c r="C401" s="1"/>
      <c r="D401" s="1"/>
      <c r="E401" s="13" t="s">
        <v>700</v>
      </c>
      <c r="G401" s="1"/>
      <c r="H401" s="1"/>
      <c r="I401" s="1"/>
      <c r="J401" s="706" t="str">
        <f>IF(calculations!M83,"describe corrective action proposed to correct any Red Flag or Yellow Flag ranking",IF(calculations!N83,"describe corrective action proposed to correct any Red Flag or Yellow Flag ranking",""))</f>
        <v/>
      </c>
      <c r="K401" s="707"/>
      <c r="L401" s="707"/>
      <c r="M401" s="707"/>
      <c r="N401" s="707"/>
      <c r="O401" s="707"/>
      <c r="P401" s="707"/>
      <c r="Q401" s="707"/>
      <c r="R401" s="707"/>
      <c r="S401" s="707"/>
      <c r="T401" s="707"/>
      <c r="U401" s="707"/>
      <c r="V401" s="707"/>
      <c r="W401" s="707"/>
      <c r="X401" s="707"/>
      <c r="Y401" s="707"/>
      <c r="Z401" s="707"/>
      <c r="AA401" s="707"/>
      <c r="AB401" s="707"/>
      <c r="AC401" s="707"/>
      <c r="AD401" s="707"/>
      <c r="AE401" s="707"/>
      <c r="AF401" s="707"/>
      <c r="AG401" s="707"/>
      <c r="AH401" s="707"/>
      <c r="AI401" s="707"/>
      <c r="AJ401" s="707"/>
      <c r="AK401" s="707"/>
      <c r="AL401" s="707"/>
      <c r="AM401" s="707"/>
      <c r="AN401" s="707"/>
      <c r="AO401" s="707"/>
      <c r="AP401" s="707"/>
      <c r="AQ401" s="707"/>
      <c r="AR401" s="708"/>
    </row>
    <row r="402" spans="1:44" ht="4.5" customHeight="1" x14ac:dyDescent="0.3">
      <c r="A402" s="13"/>
      <c r="B402" s="60"/>
      <c r="C402" s="1"/>
      <c r="D402" s="1"/>
      <c r="E402" s="1"/>
      <c r="G402" s="38"/>
      <c r="H402" s="1"/>
      <c r="I402" s="1"/>
      <c r="J402" s="214"/>
      <c r="K402" s="214"/>
      <c r="L402" s="214"/>
      <c r="M402" s="214"/>
      <c r="N402" s="214"/>
      <c r="O402" s="214"/>
      <c r="P402" s="214"/>
      <c r="Q402" s="214"/>
      <c r="R402" s="214"/>
      <c r="S402" s="214"/>
      <c r="T402" s="214"/>
      <c r="U402" s="214"/>
      <c r="V402" s="214"/>
      <c r="W402" s="214"/>
      <c r="X402" s="214"/>
      <c r="Y402" s="214"/>
      <c r="Z402" s="214"/>
      <c r="AA402" s="214"/>
      <c r="AB402" s="214"/>
      <c r="AC402" s="214"/>
      <c r="AD402" s="214"/>
      <c r="AE402" s="214"/>
      <c r="AF402" s="214"/>
      <c r="AG402" s="214"/>
      <c r="AH402" s="214"/>
      <c r="AI402" s="214"/>
      <c r="AJ402" s="214"/>
      <c r="AK402" s="214"/>
      <c r="AL402" s="214"/>
      <c r="AM402" s="214"/>
      <c r="AN402" s="214"/>
      <c r="AO402" s="214"/>
      <c r="AP402" s="214"/>
      <c r="AQ402" s="214"/>
      <c r="AR402" s="214"/>
    </row>
    <row r="403" spans="1:44" ht="39.75" customHeight="1" x14ac:dyDescent="0.3">
      <c r="A403" s="13"/>
      <c r="B403" s="60"/>
      <c r="C403" s="1"/>
      <c r="D403" s="1"/>
      <c r="E403" s="55" t="str">
        <f>IF(calculations!M83,"OFE",IF(calculations!N83,"REC",IF(J403&gt;"","REC","")))</f>
        <v/>
      </c>
      <c r="G403" s="38"/>
      <c r="H403" s="1"/>
      <c r="I403" s="1"/>
      <c r="J403" s="724" t="str">
        <f>IF(calculations!M83,CONCATENATE("IF SIGNIFICANT:  ",Rec!E129),IF(calculations!N83,Rec!E130,""))</f>
        <v/>
      </c>
      <c r="K403" s="725"/>
      <c r="L403" s="725"/>
      <c r="M403" s="725"/>
      <c r="N403" s="725"/>
      <c r="O403" s="725"/>
      <c r="P403" s="725"/>
      <c r="Q403" s="725"/>
      <c r="R403" s="725"/>
      <c r="S403" s="725"/>
      <c r="T403" s="725"/>
      <c r="U403" s="725"/>
      <c r="V403" s="725"/>
      <c r="W403" s="725"/>
      <c r="X403" s="725"/>
      <c r="Y403" s="725"/>
      <c r="Z403" s="725"/>
      <c r="AA403" s="725"/>
      <c r="AB403" s="725"/>
      <c r="AC403" s="725"/>
      <c r="AD403" s="725"/>
      <c r="AE403" s="725"/>
      <c r="AF403" s="725"/>
      <c r="AG403" s="725"/>
      <c r="AH403" s="725"/>
      <c r="AI403" s="725"/>
      <c r="AJ403" s="725"/>
      <c r="AK403" s="725"/>
      <c r="AL403" s="725"/>
      <c r="AM403" s="725"/>
      <c r="AN403" s="725"/>
      <c r="AO403" s="725"/>
      <c r="AP403" s="725"/>
      <c r="AQ403" s="725"/>
      <c r="AR403" s="726"/>
    </row>
    <row r="404" spans="1:44" ht="13.5" customHeight="1" x14ac:dyDescent="0.3">
      <c r="A404" s="13"/>
      <c r="B404" s="60"/>
      <c r="C404" s="1"/>
      <c r="D404" s="1"/>
      <c r="E404" s="11"/>
      <c r="F404" s="37"/>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ht="14.15" x14ac:dyDescent="0.35">
      <c r="A405" s="232" t="s">
        <v>869</v>
      </c>
      <c r="B405" s="60"/>
      <c r="C405" s="1"/>
      <c r="D405" s="30" t="s">
        <v>853</v>
      </c>
      <c r="E405" s="1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ht="4.5" customHeight="1" x14ac:dyDescent="0.3">
      <c r="A406" s="13"/>
      <c r="B406" s="60"/>
      <c r="C406" s="1"/>
      <c r="D406" s="1"/>
      <c r="E406" s="1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3">
      <c r="A407" s="13" t="s">
        <v>66</v>
      </c>
      <c r="B407" s="60"/>
      <c r="C407" s="31"/>
      <c r="D407" s="31"/>
      <c r="E407" s="32"/>
      <c r="F407" s="33"/>
      <c r="G407" s="31"/>
      <c r="H407" s="31"/>
      <c r="I407" s="31"/>
      <c r="J407" s="215"/>
      <c r="K407" s="214"/>
      <c r="L407" s="902" t="s">
        <v>1281</v>
      </c>
      <c r="M407" s="902"/>
      <c r="N407" s="902"/>
      <c r="O407" s="902"/>
      <c r="P407" s="902"/>
      <c r="Q407" s="902"/>
      <c r="R407" s="902"/>
      <c r="S407" s="902"/>
      <c r="T407" s="902"/>
      <c r="U407" s="902"/>
      <c r="V407" s="902"/>
      <c r="W407" s="902"/>
      <c r="X407" s="902"/>
      <c r="Y407" s="902"/>
      <c r="Z407" s="902"/>
      <c r="AA407" s="902"/>
      <c r="AB407" s="902"/>
      <c r="AC407" s="902"/>
      <c r="AD407" s="902"/>
      <c r="AE407" s="902"/>
      <c r="AF407" s="902"/>
      <c r="AG407" s="902"/>
      <c r="AH407" s="902"/>
      <c r="AI407" s="902"/>
      <c r="AJ407" s="902"/>
      <c r="AK407" s="902"/>
      <c r="AL407" s="902"/>
      <c r="AM407" s="902"/>
      <c r="AN407" s="902"/>
      <c r="AO407" s="902"/>
      <c r="AP407" s="902"/>
      <c r="AQ407" s="902"/>
      <c r="AR407" s="902"/>
    </row>
    <row r="408" spans="1:44" ht="4.5" customHeight="1" x14ac:dyDescent="0.3">
      <c r="A408" s="13"/>
      <c r="B408" s="60"/>
      <c r="C408" s="31"/>
      <c r="D408" s="31"/>
      <c r="E408" s="34"/>
      <c r="F408" s="31"/>
      <c r="G408" s="31"/>
      <c r="H408" s="31"/>
      <c r="I408" s="31"/>
      <c r="J408" s="215"/>
      <c r="K408" s="214"/>
      <c r="L408" s="214"/>
      <c r="M408" s="214"/>
      <c r="N408" s="214"/>
      <c r="O408" s="214"/>
      <c r="P408" s="214"/>
      <c r="Q408" s="214"/>
      <c r="R408" s="214"/>
      <c r="S408" s="214"/>
      <c r="T408" s="214"/>
      <c r="U408" s="214"/>
      <c r="V408" s="214"/>
      <c r="W408" s="214"/>
      <c r="X408" s="214"/>
      <c r="Y408" s="214"/>
      <c r="Z408" s="214"/>
      <c r="AA408" s="214"/>
      <c r="AB408" s="214"/>
      <c r="AC408" s="214"/>
      <c r="AD408" s="214"/>
      <c r="AE408" s="214"/>
      <c r="AF408" s="214"/>
      <c r="AG408" s="214"/>
      <c r="AH408" s="214"/>
      <c r="AI408" s="214"/>
      <c r="AJ408" s="214"/>
      <c r="AK408" s="214"/>
      <c r="AL408" s="214"/>
      <c r="AM408" s="214"/>
      <c r="AN408" s="214"/>
      <c r="AO408" s="214"/>
      <c r="AP408" s="214"/>
      <c r="AQ408" s="214"/>
      <c r="AR408" s="214"/>
    </row>
    <row r="409" spans="1:44" ht="14.25" customHeight="1" x14ac:dyDescent="0.3">
      <c r="A409" s="13" t="s">
        <v>67</v>
      </c>
      <c r="B409" s="60"/>
      <c r="C409" s="31"/>
      <c r="D409" s="31"/>
      <c r="E409" s="32"/>
      <c r="F409" s="33"/>
      <c r="G409" s="31"/>
      <c r="H409" s="31"/>
      <c r="I409" s="31"/>
      <c r="J409" s="215"/>
      <c r="K409" s="214"/>
      <c r="L409" s="902" t="s">
        <v>1282</v>
      </c>
      <c r="M409" s="902"/>
      <c r="N409" s="902"/>
      <c r="O409" s="902"/>
      <c r="P409" s="902"/>
      <c r="Q409" s="902"/>
      <c r="R409" s="902"/>
      <c r="S409" s="902"/>
      <c r="T409" s="902"/>
      <c r="U409" s="902"/>
      <c r="V409" s="902"/>
      <c r="W409" s="902"/>
      <c r="X409" s="902"/>
      <c r="Y409" s="902"/>
      <c r="Z409" s="902"/>
      <c r="AA409" s="902"/>
      <c r="AB409" s="902"/>
      <c r="AC409" s="902"/>
      <c r="AD409" s="902"/>
      <c r="AE409" s="902"/>
      <c r="AF409" s="902"/>
      <c r="AG409" s="902"/>
      <c r="AH409" s="902"/>
      <c r="AI409" s="902"/>
      <c r="AJ409" s="902"/>
      <c r="AK409" s="902"/>
      <c r="AL409" s="902"/>
      <c r="AM409" s="902"/>
      <c r="AN409" s="902"/>
      <c r="AO409" s="902"/>
      <c r="AP409" s="902"/>
      <c r="AQ409" s="902"/>
      <c r="AR409" s="902"/>
    </row>
    <row r="410" spans="1:44" ht="4.5" customHeight="1" x14ac:dyDescent="0.3">
      <c r="A410" s="13"/>
      <c r="B410" s="60"/>
      <c r="C410" s="31"/>
      <c r="D410" s="31"/>
      <c r="E410" s="32"/>
      <c r="F410" s="33"/>
      <c r="G410" s="31"/>
      <c r="H410" s="31"/>
      <c r="I410" s="31"/>
      <c r="J410" s="215"/>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row>
    <row r="411" spans="1:44" ht="36.75" customHeight="1" x14ac:dyDescent="0.3">
      <c r="A411" s="13" t="s">
        <v>68</v>
      </c>
      <c r="B411" s="60"/>
      <c r="C411" s="31"/>
      <c r="D411" s="31"/>
      <c r="E411" s="34"/>
      <c r="F411" s="31"/>
      <c r="G411" s="31"/>
      <c r="H411" s="31"/>
      <c r="I411" s="31"/>
      <c r="J411" s="215"/>
      <c r="K411" s="214"/>
      <c r="L411" s="902" t="s">
        <v>1283</v>
      </c>
      <c r="M411" s="902"/>
      <c r="N411" s="902"/>
      <c r="O411" s="902"/>
      <c r="P411" s="902"/>
      <c r="Q411" s="902"/>
      <c r="R411" s="902"/>
      <c r="S411" s="902"/>
      <c r="T411" s="902"/>
      <c r="U411" s="902"/>
      <c r="V411" s="902"/>
      <c r="W411" s="902"/>
      <c r="X411" s="902"/>
      <c r="Y411" s="902"/>
      <c r="Z411" s="902"/>
      <c r="AA411" s="902"/>
      <c r="AB411" s="902"/>
      <c r="AC411" s="902"/>
      <c r="AD411" s="902"/>
      <c r="AE411" s="902"/>
      <c r="AF411" s="902"/>
      <c r="AG411" s="902"/>
      <c r="AH411" s="902"/>
      <c r="AI411" s="902"/>
      <c r="AJ411" s="902"/>
      <c r="AK411" s="902"/>
      <c r="AL411" s="902"/>
      <c r="AM411" s="902"/>
      <c r="AN411" s="902"/>
      <c r="AO411" s="902"/>
      <c r="AP411" s="902"/>
      <c r="AQ411" s="902"/>
      <c r="AR411" s="902"/>
    </row>
    <row r="412" spans="1:44" ht="4.5" customHeight="1" x14ac:dyDescent="0.3">
      <c r="A412" s="13"/>
      <c r="B412" s="60"/>
      <c r="C412" s="31"/>
      <c r="D412" s="31"/>
      <c r="E412" s="34"/>
      <c r="F412" s="31"/>
      <c r="G412" s="31"/>
      <c r="H412" s="31"/>
      <c r="I412" s="31"/>
      <c r="J412" s="215"/>
      <c r="K412" s="214"/>
      <c r="L412" s="214"/>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c r="AI412" s="214"/>
      <c r="AJ412" s="214"/>
      <c r="AK412" s="214"/>
      <c r="AL412" s="214"/>
      <c r="AM412" s="214"/>
      <c r="AN412" s="214"/>
      <c r="AO412" s="214"/>
      <c r="AP412" s="214"/>
      <c r="AQ412" s="214"/>
      <c r="AR412" s="214"/>
    </row>
    <row r="413" spans="1:44" x14ac:dyDescent="0.3">
      <c r="A413" s="13" t="s">
        <v>265</v>
      </c>
      <c r="B413" s="60"/>
      <c r="C413" s="31"/>
      <c r="D413" s="31"/>
      <c r="E413" s="32"/>
      <c r="F413" s="33"/>
      <c r="G413" s="31"/>
      <c r="H413" s="31"/>
      <c r="I413" s="31"/>
      <c r="J413" s="215"/>
      <c r="K413" s="214"/>
      <c r="L413" s="902" t="s">
        <v>1285</v>
      </c>
      <c r="M413" s="902"/>
      <c r="N413" s="902"/>
      <c r="O413" s="902"/>
      <c r="P413" s="902"/>
      <c r="Q413" s="902"/>
      <c r="R413" s="902"/>
      <c r="S413" s="902"/>
      <c r="T413" s="902"/>
      <c r="U413" s="902"/>
      <c r="V413" s="902"/>
      <c r="W413" s="902"/>
      <c r="X413" s="902"/>
      <c r="Y413" s="902"/>
      <c r="Z413" s="902"/>
      <c r="AA413" s="902"/>
      <c r="AB413" s="902"/>
      <c r="AC413" s="902"/>
      <c r="AD413" s="902"/>
      <c r="AE413" s="902"/>
      <c r="AF413" s="902"/>
      <c r="AG413" s="902"/>
      <c r="AH413" s="902"/>
      <c r="AI413" s="902"/>
      <c r="AJ413" s="902"/>
      <c r="AK413" s="902"/>
      <c r="AL413" s="902"/>
      <c r="AM413" s="902"/>
      <c r="AN413" s="902"/>
      <c r="AO413" s="902"/>
      <c r="AP413" s="902"/>
      <c r="AQ413" s="902"/>
      <c r="AR413" s="902"/>
    </row>
    <row r="414" spans="1:44" ht="4.5" customHeight="1" x14ac:dyDescent="0.3">
      <c r="A414" s="13"/>
      <c r="B414" s="60"/>
      <c r="C414" s="1"/>
      <c r="D414" s="1"/>
      <c r="E414" s="35"/>
      <c r="F414" s="1"/>
      <c r="G414" s="1"/>
      <c r="H414" s="1"/>
      <c r="I414" s="1"/>
      <c r="J414" s="214"/>
      <c r="K414" s="214"/>
      <c r="L414" s="214"/>
      <c r="M414" s="214"/>
      <c r="N414" s="214"/>
      <c r="O414" s="214"/>
      <c r="P414" s="214"/>
      <c r="Q414" s="214"/>
      <c r="R414" s="214"/>
      <c r="S414" s="214"/>
      <c r="T414" s="214"/>
      <c r="U414" s="214"/>
      <c r="V414" s="214"/>
      <c r="W414" s="214"/>
      <c r="X414" s="214"/>
      <c r="Y414" s="214"/>
      <c r="Z414" s="214"/>
      <c r="AA414" s="214"/>
      <c r="AB414" s="214"/>
      <c r="AC414" s="214"/>
      <c r="AD414" s="214"/>
      <c r="AE414" s="214"/>
      <c r="AF414" s="214"/>
      <c r="AG414" s="214"/>
      <c r="AH414" s="214"/>
      <c r="AI414" s="214"/>
      <c r="AJ414" s="214"/>
      <c r="AK414" s="214"/>
      <c r="AL414" s="214"/>
      <c r="AM414" s="214"/>
      <c r="AN414" s="214"/>
      <c r="AO414" s="214"/>
      <c r="AP414" s="214"/>
      <c r="AQ414" s="214"/>
      <c r="AR414" s="214"/>
    </row>
    <row r="415" spans="1:44" x14ac:dyDescent="0.3">
      <c r="A415" s="13" t="s">
        <v>266</v>
      </c>
      <c r="B415" s="60"/>
      <c r="C415" s="1"/>
      <c r="D415" s="1"/>
      <c r="E415" s="11"/>
      <c r="F415" s="3"/>
      <c r="G415" s="1"/>
      <c r="H415" s="1"/>
      <c r="I415" s="1"/>
      <c r="J415" s="214"/>
      <c r="K415" s="214"/>
      <c r="L415" s="902" t="s">
        <v>1284</v>
      </c>
      <c r="M415" s="902"/>
      <c r="N415" s="902"/>
      <c r="O415" s="902"/>
      <c r="P415" s="902"/>
      <c r="Q415" s="902"/>
      <c r="R415" s="902"/>
      <c r="S415" s="902"/>
      <c r="T415" s="902"/>
      <c r="U415" s="902"/>
      <c r="V415" s="902"/>
      <c r="W415" s="902"/>
      <c r="X415" s="902"/>
      <c r="Y415" s="902"/>
      <c r="Z415" s="902"/>
      <c r="AA415" s="902"/>
      <c r="AB415" s="902"/>
      <c r="AC415" s="902"/>
      <c r="AD415" s="902"/>
      <c r="AE415" s="902"/>
      <c r="AF415" s="902"/>
      <c r="AG415" s="902"/>
      <c r="AH415" s="902"/>
      <c r="AI415" s="902"/>
      <c r="AJ415" s="902"/>
      <c r="AK415" s="902"/>
      <c r="AL415" s="902"/>
      <c r="AM415" s="902"/>
      <c r="AN415" s="902"/>
      <c r="AO415" s="902"/>
      <c r="AP415" s="902"/>
      <c r="AQ415" s="902"/>
      <c r="AR415" s="902"/>
    </row>
    <row r="416" spans="1:44" ht="4.5" customHeight="1" x14ac:dyDescent="0.3">
      <c r="A416" s="13"/>
      <c r="B416" s="60"/>
      <c r="C416" s="1"/>
      <c r="D416" s="1"/>
      <c r="E416" s="11"/>
      <c r="F416" s="1"/>
      <c r="G416" s="1"/>
      <c r="H416" s="1"/>
      <c r="I416" s="1"/>
      <c r="J416" s="214"/>
      <c r="K416" s="214"/>
      <c r="L416" s="214"/>
      <c r="M416" s="214"/>
      <c r="N416" s="214"/>
      <c r="O416" s="214"/>
      <c r="P416" s="214"/>
      <c r="Q416" s="214"/>
      <c r="R416" s="214"/>
      <c r="S416" s="214"/>
      <c r="T416" s="214"/>
      <c r="U416" s="214"/>
      <c r="V416" s="214"/>
      <c r="W416" s="214"/>
      <c r="X416" s="214"/>
      <c r="Y416" s="214"/>
      <c r="Z416" s="214"/>
      <c r="AA416" s="214"/>
      <c r="AB416" s="214"/>
      <c r="AC416" s="214"/>
      <c r="AD416" s="214"/>
      <c r="AE416" s="214"/>
      <c r="AF416" s="214"/>
      <c r="AG416" s="214"/>
      <c r="AH416" s="214"/>
      <c r="AI416" s="214"/>
      <c r="AJ416" s="214"/>
      <c r="AK416" s="214"/>
      <c r="AL416" s="214"/>
      <c r="AM416" s="214"/>
      <c r="AN416" s="214"/>
      <c r="AO416" s="214"/>
      <c r="AP416" s="214"/>
      <c r="AQ416" s="214"/>
      <c r="AR416" s="214"/>
    </row>
    <row r="417" spans="1:44" x14ac:dyDescent="0.3">
      <c r="A417" s="13"/>
      <c r="B417" s="60"/>
      <c r="C417" s="1"/>
      <c r="D417" s="1"/>
      <c r="E417" s="13" t="s">
        <v>700</v>
      </c>
      <c r="G417" s="1"/>
      <c r="H417" s="1"/>
      <c r="I417" s="1"/>
      <c r="J417" s="706" t="str">
        <f>IF(calculations!M84,"describe corrective action proposed to correct any Red Flag or Yellow Flag ranking",IF(calculations!N84,"describe corrective action proposed to correct any Red Flag or Yellow Flag ranking",""))</f>
        <v/>
      </c>
      <c r="K417" s="707"/>
      <c r="L417" s="707"/>
      <c r="M417" s="707"/>
      <c r="N417" s="707"/>
      <c r="O417" s="707"/>
      <c r="P417" s="707"/>
      <c r="Q417" s="707"/>
      <c r="R417" s="707"/>
      <c r="S417" s="707"/>
      <c r="T417" s="707"/>
      <c r="U417" s="707"/>
      <c r="V417" s="707"/>
      <c r="W417" s="707"/>
      <c r="X417" s="707"/>
      <c r="Y417" s="707"/>
      <c r="Z417" s="707"/>
      <c r="AA417" s="707"/>
      <c r="AB417" s="707"/>
      <c r="AC417" s="707"/>
      <c r="AD417" s="707"/>
      <c r="AE417" s="707"/>
      <c r="AF417" s="707"/>
      <c r="AG417" s="707"/>
      <c r="AH417" s="707"/>
      <c r="AI417" s="707"/>
      <c r="AJ417" s="707"/>
      <c r="AK417" s="707"/>
      <c r="AL417" s="707"/>
      <c r="AM417" s="707"/>
      <c r="AN417" s="707"/>
      <c r="AO417" s="707"/>
      <c r="AP417" s="707"/>
      <c r="AQ417" s="707"/>
      <c r="AR417" s="708"/>
    </row>
    <row r="418" spans="1:44" ht="4.5" customHeight="1" x14ac:dyDescent="0.3">
      <c r="A418" s="13"/>
      <c r="B418" s="60"/>
      <c r="C418" s="1"/>
      <c r="D418" s="1"/>
      <c r="E418" s="1"/>
      <c r="G418" s="38"/>
      <c r="H418" s="1"/>
      <c r="I418" s="1"/>
      <c r="J418" s="214"/>
      <c r="K418" s="214"/>
      <c r="L418" s="214"/>
      <c r="M418" s="214"/>
      <c r="N418" s="214"/>
      <c r="O418" s="214"/>
      <c r="P418" s="214"/>
      <c r="Q418" s="214"/>
      <c r="R418" s="214"/>
      <c r="S418" s="214"/>
      <c r="T418" s="214"/>
      <c r="U418" s="214"/>
      <c r="V418" s="214"/>
      <c r="W418" s="214"/>
      <c r="X418" s="214"/>
      <c r="Y418" s="214"/>
      <c r="Z418" s="214"/>
      <c r="AA418" s="214"/>
      <c r="AB418" s="214"/>
      <c r="AC418" s="214"/>
      <c r="AD418" s="214"/>
      <c r="AE418" s="214"/>
      <c r="AF418" s="214"/>
      <c r="AG418" s="214"/>
      <c r="AH418" s="214"/>
      <c r="AI418" s="214"/>
      <c r="AJ418" s="214"/>
      <c r="AK418" s="214"/>
      <c r="AL418" s="214"/>
      <c r="AM418" s="214"/>
      <c r="AN418" s="214"/>
      <c r="AO418" s="214"/>
      <c r="AP418" s="214"/>
      <c r="AQ418" s="214"/>
      <c r="AR418" s="214"/>
    </row>
    <row r="419" spans="1:44" ht="40.5" customHeight="1" x14ac:dyDescent="0.3">
      <c r="A419" s="13"/>
      <c r="B419" s="60"/>
      <c r="C419" s="1"/>
      <c r="D419" s="1"/>
      <c r="E419" s="55" t="str">
        <f>IF(calculations!M84,"OFE",IF(calculations!N84,"REC",IF(J419&gt;"","REC","")))</f>
        <v/>
      </c>
      <c r="G419" s="38"/>
      <c r="H419" s="1"/>
      <c r="I419" s="1"/>
      <c r="J419" s="724" t="str">
        <f>IF(calculations!M84,CONCATENATE("OFE:  ",Rec!E131),IF(calculations!N84,Rec!E132,""))</f>
        <v/>
      </c>
      <c r="K419" s="725"/>
      <c r="L419" s="725"/>
      <c r="M419" s="725"/>
      <c r="N419" s="725"/>
      <c r="O419" s="725"/>
      <c r="P419" s="725"/>
      <c r="Q419" s="725"/>
      <c r="R419" s="725"/>
      <c r="S419" s="725"/>
      <c r="T419" s="725"/>
      <c r="U419" s="725"/>
      <c r="V419" s="725"/>
      <c r="W419" s="725"/>
      <c r="X419" s="725"/>
      <c r="Y419" s="725"/>
      <c r="Z419" s="725"/>
      <c r="AA419" s="725"/>
      <c r="AB419" s="725"/>
      <c r="AC419" s="725"/>
      <c r="AD419" s="725"/>
      <c r="AE419" s="725"/>
      <c r="AF419" s="725"/>
      <c r="AG419" s="725"/>
      <c r="AH419" s="725"/>
      <c r="AI419" s="725"/>
      <c r="AJ419" s="725"/>
      <c r="AK419" s="725"/>
      <c r="AL419" s="725"/>
      <c r="AM419" s="725"/>
      <c r="AN419" s="725"/>
      <c r="AO419" s="725"/>
      <c r="AP419" s="725"/>
      <c r="AQ419" s="725"/>
      <c r="AR419" s="726"/>
    </row>
    <row r="420" spans="1:44" x14ac:dyDescent="0.3">
      <c r="A420" s="13"/>
      <c r="B420" s="60"/>
      <c r="C420" s="1"/>
      <c r="D420" s="1"/>
      <c r="E420" s="11"/>
      <c r="F420" s="37"/>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ht="14.15" x14ac:dyDescent="0.35">
      <c r="A421" s="232" t="s">
        <v>870</v>
      </c>
      <c r="B421" s="60"/>
      <c r="C421" s="1"/>
      <c r="D421" s="30" t="s">
        <v>267</v>
      </c>
      <c r="E421" s="1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ht="4.5" customHeight="1" x14ac:dyDescent="0.3">
      <c r="A422" s="13"/>
      <c r="B422" s="60"/>
      <c r="C422" s="1"/>
      <c r="D422" s="1"/>
      <c r="E422" s="1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3">
      <c r="A423" s="13" t="s">
        <v>268</v>
      </c>
      <c r="B423" s="60"/>
      <c r="C423" s="31"/>
      <c r="D423" s="31"/>
      <c r="E423" s="32"/>
      <c r="F423" s="33"/>
      <c r="G423" s="31"/>
      <c r="H423" s="31"/>
      <c r="I423" s="31"/>
      <c r="J423" s="215"/>
      <c r="K423" s="214"/>
      <c r="L423" s="902" t="s">
        <v>1286</v>
      </c>
      <c r="M423" s="902"/>
      <c r="N423" s="902"/>
      <c r="O423" s="902"/>
      <c r="P423" s="902"/>
      <c r="Q423" s="902"/>
      <c r="R423" s="902"/>
      <c r="S423" s="902"/>
      <c r="T423" s="902"/>
      <c r="U423" s="902"/>
      <c r="V423" s="902"/>
      <c r="W423" s="902"/>
      <c r="X423" s="902"/>
      <c r="Y423" s="902"/>
      <c r="Z423" s="902"/>
      <c r="AA423" s="902"/>
      <c r="AB423" s="902"/>
      <c r="AC423" s="902"/>
      <c r="AD423" s="902"/>
      <c r="AE423" s="902"/>
      <c r="AF423" s="902"/>
      <c r="AG423" s="902"/>
      <c r="AH423" s="902"/>
      <c r="AI423" s="902"/>
      <c r="AJ423" s="902"/>
      <c r="AK423" s="902"/>
      <c r="AL423" s="902"/>
      <c r="AM423" s="902"/>
      <c r="AN423" s="902"/>
      <c r="AO423" s="902"/>
      <c r="AP423" s="902"/>
      <c r="AQ423" s="902"/>
      <c r="AR423" s="902"/>
    </row>
    <row r="424" spans="1:44" ht="4.5" customHeight="1" x14ac:dyDescent="0.3">
      <c r="A424" s="13"/>
      <c r="B424" s="60"/>
      <c r="C424" s="31"/>
      <c r="D424" s="31"/>
      <c r="E424" s="34"/>
      <c r="F424" s="31"/>
      <c r="G424" s="31"/>
      <c r="H424" s="31"/>
      <c r="I424" s="31"/>
      <c r="J424" s="215"/>
      <c r="K424" s="214"/>
      <c r="L424" s="214"/>
      <c r="M424" s="214"/>
      <c r="N424" s="214"/>
      <c r="O424" s="214"/>
      <c r="P424" s="214"/>
      <c r="Q424" s="214"/>
      <c r="R424" s="214"/>
      <c r="S424" s="214"/>
      <c r="T424" s="214"/>
      <c r="U424" s="214"/>
      <c r="V424" s="214"/>
      <c r="W424" s="214"/>
      <c r="X424" s="214"/>
      <c r="Y424" s="214"/>
      <c r="Z424" s="214"/>
      <c r="AA424" s="214"/>
      <c r="AB424" s="214"/>
      <c r="AC424" s="214"/>
      <c r="AD424" s="214"/>
      <c r="AE424" s="214"/>
      <c r="AF424" s="214"/>
      <c r="AG424" s="214"/>
      <c r="AH424" s="214"/>
      <c r="AI424" s="214"/>
      <c r="AJ424" s="214"/>
      <c r="AK424" s="214"/>
      <c r="AL424" s="214"/>
      <c r="AM424" s="214"/>
      <c r="AN424" s="214"/>
      <c r="AO424" s="214"/>
      <c r="AP424" s="214"/>
      <c r="AQ424" s="214"/>
      <c r="AR424" s="214"/>
    </row>
    <row r="425" spans="1:44" x14ac:dyDescent="0.3">
      <c r="A425" s="13" t="s">
        <v>269</v>
      </c>
      <c r="B425" s="60"/>
      <c r="C425" s="31"/>
      <c r="D425" s="31"/>
      <c r="E425" s="32"/>
      <c r="F425" s="33"/>
      <c r="G425" s="31"/>
      <c r="H425" s="31"/>
      <c r="I425" s="31"/>
      <c r="J425" s="215"/>
      <c r="K425" s="214"/>
      <c r="L425" s="902" t="s">
        <v>1287</v>
      </c>
      <c r="M425" s="902"/>
      <c r="N425" s="902"/>
      <c r="O425" s="902"/>
      <c r="P425" s="902"/>
      <c r="Q425" s="902"/>
      <c r="R425" s="902"/>
      <c r="S425" s="902"/>
      <c r="T425" s="902"/>
      <c r="U425" s="902"/>
      <c r="V425" s="902"/>
      <c r="W425" s="902"/>
      <c r="X425" s="902"/>
      <c r="Y425" s="902"/>
      <c r="Z425" s="902"/>
      <c r="AA425" s="902"/>
      <c r="AB425" s="902"/>
      <c r="AC425" s="902"/>
      <c r="AD425" s="902"/>
      <c r="AE425" s="902"/>
      <c r="AF425" s="902"/>
      <c r="AG425" s="902"/>
      <c r="AH425" s="902"/>
      <c r="AI425" s="902"/>
      <c r="AJ425" s="902"/>
      <c r="AK425" s="902"/>
      <c r="AL425" s="902"/>
      <c r="AM425" s="902"/>
      <c r="AN425" s="902"/>
      <c r="AO425" s="902"/>
      <c r="AP425" s="902"/>
      <c r="AQ425" s="902"/>
      <c r="AR425" s="902"/>
    </row>
    <row r="426" spans="1:44" ht="4.5" customHeight="1" x14ac:dyDescent="0.3">
      <c r="A426" s="13"/>
      <c r="B426" s="60"/>
      <c r="C426" s="31"/>
      <c r="D426" s="31"/>
      <c r="E426" s="32"/>
      <c r="F426" s="33"/>
      <c r="G426" s="31"/>
      <c r="H426" s="31"/>
      <c r="I426" s="31"/>
      <c r="J426" s="215"/>
      <c r="K426" s="214"/>
      <c r="L426" s="214"/>
      <c r="M426" s="214"/>
      <c r="N426" s="214"/>
      <c r="O426" s="214"/>
      <c r="P426" s="214"/>
      <c r="Q426" s="214"/>
      <c r="R426" s="214"/>
      <c r="S426" s="214"/>
      <c r="T426" s="214"/>
      <c r="U426" s="214"/>
      <c r="V426" s="214"/>
      <c r="W426" s="214"/>
      <c r="X426" s="214"/>
      <c r="Y426" s="214"/>
      <c r="Z426" s="214"/>
      <c r="AA426" s="214"/>
      <c r="AB426" s="214"/>
      <c r="AC426" s="214"/>
      <c r="AD426" s="214"/>
      <c r="AE426" s="214"/>
      <c r="AF426" s="214"/>
      <c r="AG426" s="214"/>
      <c r="AH426" s="214"/>
      <c r="AI426" s="214"/>
      <c r="AJ426" s="214"/>
      <c r="AK426" s="214"/>
      <c r="AL426" s="214"/>
      <c r="AM426" s="214"/>
      <c r="AN426" s="214"/>
      <c r="AO426" s="214"/>
      <c r="AP426" s="214"/>
      <c r="AQ426" s="214"/>
      <c r="AR426" s="214"/>
    </row>
    <row r="427" spans="1:44" ht="27" customHeight="1" x14ac:dyDescent="0.3">
      <c r="A427" s="13" t="s">
        <v>270</v>
      </c>
      <c r="B427" s="60"/>
      <c r="C427" s="31"/>
      <c r="D427" s="31"/>
      <c r="E427" s="34"/>
      <c r="F427" s="31"/>
      <c r="G427" s="31"/>
      <c r="H427" s="31"/>
      <c r="I427" s="31"/>
      <c r="J427" s="215"/>
      <c r="K427" s="214"/>
      <c r="L427" s="902" t="s">
        <v>1288</v>
      </c>
      <c r="M427" s="902"/>
      <c r="N427" s="902"/>
      <c r="O427" s="902"/>
      <c r="P427" s="902"/>
      <c r="Q427" s="902"/>
      <c r="R427" s="902"/>
      <c r="S427" s="902"/>
      <c r="T427" s="902"/>
      <c r="U427" s="902"/>
      <c r="V427" s="902"/>
      <c r="W427" s="902"/>
      <c r="X427" s="902"/>
      <c r="Y427" s="902"/>
      <c r="Z427" s="902"/>
      <c r="AA427" s="902"/>
      <c r="AB427" s="902"/>
      <c r="AC427" s="902"/>
      <c r="AD427" s="902"/>
      <c r="AE427" s="902"/>
      <c r="AF427" s="902"/>
      <c r="AG427" s="902"/>
      <c r="AH427" s="902"/>
      <c r="AI427" s="902"/>
      <c r="AJ427" s="902"/>
      <c r="AK427" s="902"/>
      <c r="AL427" s="902"/>
      <c r="AM427" s="902"/>
      <c r="AN427" s="902"/>
      <c r="AO427" s="902"/>
      <c r="AP427" s="902"/>
      <c r="AQ427" s="902"/>
      <c r="AR427" s="902"/>
    </row>
    <row r="428" spans="1:44" ht="4.5" customHeight="1" x14ac:dyDescent="0.3">
      <c r="A428" s="13"/>
      <c r="B428" s="60"/>
      <c r="C428" s="31"/>
      <c r="D428" s="31"/>
      <c r="E428" s="34"/>
      <c r="F428" s="31"/>
      <c r="G428" s="31"/>
      <c r="H428" s="31"/>
      <c r="I428" s="31"/>
      <c r="J428" s="215"/>
      <c r="K428" s="214"/>
      <c r="L428" s="214"/>
      <c r="M428" s="214"/>
      <c r="N428" s="214"/>
      <c r="O428" s="214"/>
      <c r="P428" s="214"/>
      <c r="Q428" s="214"/>
      <c r="R428" s="214"/>
      <c r="S428" s="214"/>
      <c r="T428" s="214"/>
      <c r="U428" s="214"/>
      <c r="V428" s="214"/>
      <c r="W428" s="214"/>
      <c r="X428" s="214"/>
      <c r="Y428" s="214"/>
      <c r="Z428" s="214"/>
      <c r="AA428" s="214"/>
      <c r="AB428" s="214"/>
      <c r="AC428" s="214"/>
      <c r="AD428" s="214"/>
      <c r="AE428" s="214"/>
      <c r="AF428" s="214"/>
      <c r="AG428" s="214"/>
      <c r="AH428" s="214"/>
      <c r="AI428" s="214"/>
      <c r="AJ428" s="214"/>
      <c r="AK428" s="214"/>
      <c r="AL428" s="214"/>
      <c r="AM428" s="214"/>
      <c r="AN428" s="214"/>
      <c r="AO428" s="214"/>
      <c r="AP428" s="214"/>
      <c r="AQ428" s="214"/>
      <c r="AR428" s="214"/>
    </row>
    <row r="429" spans="1:44" ht="27.75" customHeight="1" x14ac:dyDescent="0.3">
      <c r="A429" s="13" t="s">
        <v>271</v>
      </c>
      <c r="B429" s="60"/>
      <c r="C429" s="31"/>
      <c r="D429" s="31"/>
      <c r="E429" s="32"/>
      <c r="F429" s="33"/>
      <c r="G429" s="31"/>
      <c r="H429" s="31"/>
      <c r="I429" s="31"/>
      <c r="J429" s="215"/>
      <c r="K429" s="214"/>
      <c r="L429" s="902" t="s">
        <v>1289</v>
      </c>
      <c r="M429" s="902"/>
      <c r="N429" s="902"/>
      <c r="O429" s="902"/>
      <c r="P429" s="902"/>
      <c r="Q429" s="902"/>
      <c r="R429" s="902"/>
      <c r="S429" s="902"/>
      <c r="T429" s="902"/>
      <c r="U429" s="902"/>
      <c r="V429" s="902"/>
      <c r="W429" s="902"/>
      <c r="X429" s="902"/>
      <c r="Y429" s="902"/>
      <c r="Z429" s="902"/>
      <c r="AA429" s="902"/>
      <c r="AB429" s="902"/>
      <c r="AC429" s="902"/>
      <c r="AD429" s="902"/>
      <c r="AE429" s="902"/>
      <c r="AF429" s="902"/>
      <c r="AG429" s="902"/>
      <c r="AH429" s="902"/>
      <c r="AI429" s="902"/>
      <c r="AJ429" s="902"/>
      <c r="AK429" s="902"/>
      <c r="AL429" s="902"/>
      <c r="AM429" s="902"/>
      <c r="AN429" s="902"/>
      <c r="AO429" s="902"/>
      <c r="AP429" s="902"/>
      <c r="AQ429" s="902"/>
      <c r="AR429" s="902"/>
    </row>
    <row r="430" spans="1:44" ht="4.5" customHeight="1" x14ac:dyDescent="0.3">
      <c r="A430" s="13"/>
      <c r="B430" s="60"/>
      <c r="C430" s="1"/>
      <c r="D430" s="1"/>
      <c r="E430" s="35"/>
      <c r="F430" s="1"/>
      <c r="G430" s="1"/>
      <c r="H430" s="1"/>
      <c r="I430" s="1"/>
      <c r="J430" s="214"/>
      <c r="K430" s="214"/>
      <c r="L430" s="214"/>
      <c r="M430" s="214"/>
      <c r="N430" s="214"/>
      <c r="O430" s="214"/>
      <c r="P430" s="214"/>
      <c r="Q430" s="214"/>
      <c r="R430" s="214"/>
      <c r="S430" s="214"/>
      <c r="T430" s="214"/>
      <c r="U430" s="214"/>
      <c r="V430" s="214"/>
      <c r="W430" s="214"/>
      <c r="X430" s="214"/>
      <c r="Y430" s="214"/>
      <c r="Z430" s="214"/>
      <c r="AA430" s="214"/>
      <c r="AB430" s="214"/>
      <c r="AC430" s="214"/>
      <c r="AD430" s="214"/>
      <c r="AE430" s="214"/>
      <c r="AF430" s="214"/>
      <c r="AG430" s="214"/>
      <c r="AH430" s="214"/>
      <c r="AI430" s="214"/>
      <c r="AJ430" s="214"/>
      <c r="AK430" s="214"/>
      <c r="AL430" s="214"/>
      <c r="AM430" s="214"/>
      <c r="AN430" s="214"/>
      <c r="AO430" s="214"/>
      <c r="AP430" s="214"/>
      <c r="AQ430" s="214"/>
      <c r="AR430" s="214"/>
    </row>
    <row r="431" spans="1:44" x14ac:dyDescent="0.3">
      <c r="A431" s="13" t="s">
        <v>272</v>
      </c>
      <c r="B431" s="60"/>
      <c r="C431" s="1"/>
      <c r="D431" s="1"/>
      <c r="E431" s="11"/>
      <c r="F431" s="3"/>
      <c r="G431" s="1"/>
      <c r="H431" s="1"/>
      <c r="I431" s="1"/>
      <c r="J431" s="214"/>
      <c r="K431" s="214"/>
      <c r="L431" s="902" t="s">
        <v>1290</v>
      </c>
      <c r="M431" s="902"/>
      <c r="N431" s="902"/>
      <c r="O431" s="902"/>
      <c r="P431" s="902"/>
      <c r="Q431" s="902"/>
      <c r="R431" s="902"/>
      <c r="S431" s="902"/>
      <c r="T431" s="902"/>
      <c r="U431" s="902"/>
      <c r="V431" s="902"/>
      <c r="W431" s="902"/>
      <c r="X431" s="902"/>
      <c r="Y431" s="902"/>
      <c r="Z431" s="902"/>
      <c r="AA431" s="902"/>
      <c r="AB431" s="902"/>
      <c r="AC431" s="902"/>
      <c r="AD431" s="902"/>
      <c r="AE431" s="902"/>
      <c r="AF431" s="902"/>
      <c r="AG431" s="902"/>
      <c r="AH431" s="902"/>
      <c r="AI431" s="902"/>
      <c r="AJ431" s="902"/>
      <c r="AK431" s="902"/>
      <c r="AL431" s="902"/>
      <c r="AM431" s="902"/>
      <c r="AN431" s="902"/>
      <c r="AO431" s="902"/>
      <c r="AP431" s="902"/>
      <c r="AQ431" s="902"/>
      <c r="AR431" s="902"/>
    </row>
    <row r="432" spans="1:44" ht="4.5" customHeight="1" x14ac:dyDescent="0.3">
      <c r="A432" s="4"/>
      <c r="B432" s="60"/>
      <c r="C432" s="1"/>
      <c r="D432" s="1"/>
      <c r="E432" s="11"/>
      <c r="F432" s="1"/>
      <c r="G432" s="1"/>
      <c r="H432" s="1"/>
      <c r="I432" s="1"/>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c r="AI432" s="214"/>
      <c r="AJ432" s="214"/>
      <c r="AK432" s="214"/>
      <c r="AL432" s="214"/>
      <c r="AM432" s="214"/>
      <c r="AN432" s="214"/>
      <c r="AO432" s="214"/>
      <c r="AP432" s="214"/>
      <c r="AQ432" s="214"/>
      <c r="AR432" s="214"/>
    </row>
    <row r="433" spans="1:44" x14ac:dyDescent="0.3">
      <c r="A433" s="4"/>
      <c r="B433" s="60"/>
      <c r="C433" s="1"/>
      <c r="D433" s="1"/>
      <c r="E433" s="13" t="s">
        <v>700</v>
      </c>
      <c r="G433" s="1"/>
      <c r="H433" s="1"/>
      <c r="I433" s="1"/>
      <c r="J433" s="706" t="str">
        <f>IF(calculations!M85,"describe corrective action proposed to correct any Red Flag or Yellow Flag ranking",IF(calculations!N85,"describe corrective action proposed to correct any Red Flag or Yellow Flag ranking",""))</f>
        <v/>
      </c>
      <c r="K433" s="707"/>
      <c r="L433" s="707"/>
      <c r="M433" s="707"/>
      <c r="N433" s="707"/>
      <c r="O433" s="707"/>
      <c r="P433" s="707"/>
      <c r="Q433" s="707"/>
      <c r="R433" s="707"/>
      <c r="S433" s="707"/>
      <c r="T433" s="707"/>
      <c r="U433" s="707"/>
      <c r="V433" s="707"/>
      <c r="W433" s="707"/>
      <c r="X433" s="707"/>
      <c r="Y433" s="707"/>
      <c r="Z433" s="707"/>
      <c r="AA433" s="707"/>
      <c r="AB433" s="707"/>
      <c r="AC433" s="707"/>
      <c r="AD433" s="707"/>
      <c r="AE433" s="707"/>
      <c r="AF433" s="707"/>
      <c r="AG433" s="707"/>
      <c r="AH433" s="707"/>
      <c r="AI433" s="707"/>
      <c r="AJ433" s="707"/>
      <c r="AK433" s="707"/>
      <c r="AL433" s="707"/>
      <c r="AM433" s="707"/>
      <c r="AN433" s="707"/>
      <c r="AO433" s="707"/>
      <c r="AP433" s="707"/>
      <c r="AQ433" s="707"/>
      <c r="AR433" s="708"/>
    </row>
    <row r="434" spans="1:44" ht="4.5" customHeight="1" x14ac:dyDescent="0.3">
      <c r="A434" s="4"/>
      <c r="B434" s="60"/>
      <c r="C434" s="1"/>
      <c r="D434" s="1"/>
      <c r="E434" s="1"/>
      <c r="G434" s="1"/>
      <c r="H434" s="1"/>
      <c r="I434" s="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row>
    <row r="435" spans="1:44" ht="39.75" customHeight="1" x14ac:dyDescent="0.3">
      <c r="A435" s="4"/>
      <c r="B435" s="60"/>
      <c r="C435" s="1"/>
      <c r="D435" s="1"/>
      <c r="E435" s="55" t="str">
        <f>IF(calculations!M85,"OFE",IF(calculations!N85,"REC",IF(J435&gt;"","REC","")))</f>
        <v/>
      </c>
      <c r="G435" s="38"/>
      <c r="H435" s="1"/>
      <c r="I435" s="1"/>
      <c r="J435" s="724" t="str">
        <f>IF(calculations!M85,CONCATENATE("OFE:  ",Rec!E133),IF(calculations!N85,Rec!E134,""))</f>
        <v/>
      </c>
      <c r="K435" s="725"/>
      <c r="L435" s="725"/>
      <c r="M435" s="725"/>
      <c r="N435" s="725"/>
      <c r="O435" s="725"/>
      <c r="P435" s="725"/>
      <c r="Q435" s="725"/>
      <c r="R435" s="725"/>
      <c r="S435" s="725"/>
      <c r="T435" s="725"/>
      <c r="U435" s="725"/>
      <c r="V435" s="725"/>
      <c r="W435" s="725"/>
      <c r="X435" s="725"/>
      <c r="Y435" s="725"/>
      <c r="Z435" s="725"/>
      <c r="AA435" s="725"/>
      <c r="AB435" s="725"/>
      <c r="AC435" s="725"/>
      <c r="AD435" s="725"/>
      <c r="AE435" s="725"/>
      <c r="AF435" s="725"/>
      <c r="AG435" s="725"/>
      <c r="AH435" s="725"/>
      <c r="AI435" s="725"/>
      <c r="AJ435" s="725"/>
      <c r="AK435" s="725"/>
      <c r="AL435" s="725"/>
      <c r="AM435" s="725"/>
      <c r="AN435" s="725"/>
      <c r="AO435" s="725"/>
      <c r="AP435" s="725"/>
      <c r="AQ435" s="725"/>
      <c r="AR435" s="726"/>
    </row>
    <row r="436" spans="1:44" x14ac:dyDescent="0.3">
      <c r="A436" s="4"/>
      <c r="B436" s="60"/>
      <c r="C436" s="1"/>
      <c r="D436" s="1"/>
      <c r="E436" s="11"/>
      <c r="F436" s="37"/>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ht="25.3" x14ac:dyDescent="0.6">
      <c r="A437" s="741" t="s">
        <v>1218</v>
      </c>
      <c r="B437" s="741"/>
      <c r="C437" s="741"/>
      <c r="D437" s="741"/>
      <c r="E437" s="741"/>
      <c r="F437" s="741"/>
      <c r="G437" s="741"/>
      <c r="H437" s="741"/>
      <c r="I437" s="741"/>
      <c r="J437" s="741"/>
      <c r="K437" s="741"/>
      <c r="L437" s="741"/>
      <c r="M437" s="741"/>
      <c r="N437" s="741"/>
      <c r="O437" s="741"/>
      <c r="P437" s="741"/>
      <c r="Q437" s="741"/>
      <c r="R437" s="741"/>
      <c r="S437" s="741"/>
      <c r="T437" s="741"/>
      <c r="U437" s="741"/>
      <c r="V437" s="741"/>
      <c r="W437" s="741"/>
      <c r="X437" s="741"/>
      <c r="Y437" s="741"/>
      <c r="Z437" s="741"/>
      <c r="AA437" s="741"/>
      <c r="AB437" s="741"/>
      <c r="AC437" s="741"/>
      <c r="AD437" s="741"/>
      <c r="AE437" s="741"/>
      <c r="AF437" s="741"/>
      <c r="AG437" s="741"/>
      <c r="AH437" s="741"/>
      <c r="AI437" s="741"/>
      <c r="AJ437" s="741"/>
      <c r="AK437" s="741"/>
      <c r="AL437" s="741"/>
      <c r="AM437" s="741"/>
      <c r="AN437" s="741"/>
      <c r="AO437" s="741"/>
      <c r="AP437" s="741"/>
      <c r="AQ437" s="741"/>
      <c r="AR437" s="741"/>
    </row>
    <row r="438" spans="1:44" x14ac:dyDescent="0.3">
      <c r="A438" s="4"/>
      <c r="B438" s="60"/>
      <c r="C438" s="1"/>
      <c r="D438" s="1"/>
      <c r="E438" s="1"/>
      <c r="F438" s="11"/>
      <c r="G438" s="1"/>
      <c r="H438" s="1"/>
      <c r="I438" s="1"/>
      <c r="J438" s="1"/>
      <c r="K438" s="1"/>
      <c r="L438" s="1"/>
      <c r="M438" s="1"/>
      <c r="N438" s="1"/>
      <c r="O438" s="1"/>
      <c r="P438" s="1"/>
      <c r="Q438" s="1"/>
      <c r="R438" s="1"/>
      <c r="S438" s="1"/>
      <c r="T438" s="1"/>
      <c r="U438" s="1"/>
      <c r="V438" s="1"/>
      <c r="W438" s="1"/>
      <c r="X438" s="1"/>
      <c r="Y438" s="1"/>
      <c r="Z438" s="1"/>
      <c r="AA438" s="1"/>
      <c r="AB438" s="1"/>
      <c r="AC438" s="691" t="s">
        <v>693</v>
      </c>
      <c r="AD438" s="692"/>
      <c r="AE438" s="692"/>
      <c r="AF438" s="692"/>
      <c r="AG438" s="692"/>
      <c r="AH438" s="693"/>
      <c r="AI438" s="1"/>
      <c r="AJ438" s="691" t="s">
        <v>694</v>
      </c>
      <c r="AK438" s="692"/>
      <c r="AL438" s="692"/>
      <c r="AM438" s="692"/>
      <c r="AN438" s="692"/>
      <c r="AO438" s="692"/>
      <c r="AP438" s="692"/>
      <c r="AQ438" s="692"/>
      <c r="AR438" s="693"/>
    </row>
    <row r="439" spans="1:44" x14ac:dyDescent="0.3">
      <c r="A439" s="4"/>
      <c r="B439" s="60"/>
      <c r="C439" s="1"/>
      <c r="D439" s="1"/>
      <c r="E439" s="1"/>
      <c r="F439" s="1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691" t="s">
        <v>695</v>
      </c>
      <c r="AK439" s="692"/>
      <c r="AL439" s="692"/>
      <c r="AM439" s="692"/>
      <c r="AN439" s="692"/>
      <c r="AO439" s="692"/>
      <c r="AP439" s="692"/>
      <c r="AQ439" s="692"/>
      <c r="AR439" s="693"/>
    </row>
    <row r="440" spans="1:44" x14ac:dyDescent="0.3">
      <c r="A440" s="13"/>
      <c r="B440" s="60"/>
      <c r="C440" s="1"/>
      <c r="D440" s="1"/>
      <c r="E440" s="1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ht="14.15" x14ac:dyDescent="0.35">
      <c r="A441" s="232" t="s">
        <v>871</v>
      </c>
      <c r="B441" s="60"/>
      <c r="C441" s="1"/>
      <c r="D441" s="30" t="s">
        <v>273</v>
      </c>
      <c r="E441" s="1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ht="4.5" customHeight="1" x14ac:dyDescent="0.3">
      <c r="A442" s="13"/>
      <c r="B442" s="60"/>
      <c r="C442" s="1"/>
      <c r="D442" s="1"/>
      <c r="E442" s="1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ht="25.5" customHeight="1" x14ac:dyDescent="0.3">
      <c r="A443" s="13" t="s">
        <v>274</v>
      </c>
      <c r="B443" s="60"/>
      <c r="C443" s="31"/>
      <c r="D443" s="31"/>
      <c r="E443" s="32"/>
      <c r="F443" s="33"/>
      <c r="G443" s="31"/>
      <c r="H443" s="31"/>
      <c r="I443" s="31"/>
      <c r="J443" s="215"/>
      <c r="K443" s="214"/>
      <c r="L443" s="902" t="s">
        <v>1291</v>
      </c>
      <c r="M443" s="902"/>
      <c r="N443" s="902"/>
      <c r="O443" s="902"/>
      <c r="P443" s="902"/>
      <c r="Q443" s="902"/>
      <c r="R443" s="902"/>
      <c r="S443" s="902"/>
      <c r="T443" s="902"/>
      <c r="U443" s="902"/>
      <c r="V443" s="902"/>
      <c r="W443" s="902"/>
      <c r="X443" s="902"/>
      <c r="Y443" s="902"/>
      <c r="Z443" s="902"/>
      <c r="AA443" s="902"/>
      <c r="AB443" s="902"/>
      <c r="AC443" s="902"/>
      <c r="AD443" s="902"/>
      <c r="AE443" s="902"/>
      <c r="AF443" s="902"/>
      <c r="AG443" s="902"/>
      <c r="AH443" s="902"/>
      <c r="AI443" s="902"/>
      <c r="AJ443" s="902"/>
      <c r="AK443" s="902"/>
      <c r="AL443" s="902"/>
      <c r="AM443" s="902"/>
      <c r="AN443" s="902"/>
      <c r="AO443" s="902"/>
      <c r="AP443" s="902"/>
      <c r="AQ443" s="902"/>
      <c r="AR443" s="902"/>
    </row>
    <row r="444" spans="1:44" ht="4.5" customHeight="1" x14ac:dyDescent="0.3">
      <c r="A444" s="13"/>
      <c r="B444" s="60"/>
      <c r="C444" s="31"/>
      <c r="D444" s="31"/>
      <c r="E444" s="34"/>
      <c r="F444" s="31"/>
      <c r="G444" s="31"/>
      <c r="H444" s="31"/>
      <c r="I444" s="31"/>
      <c r="J444" s="215"/>
      <c r="K444" s="214"/>
      <c r="L444" s="214"/>
      <c r="M444" s="214"/>
      <c r="N444" s="214"/>
      <c r="O444" s="214"/>
      <c r="P444" s="214"/>
      <c r="Q444" s="214"/>
      <c r="R444" s="214"/>
      <c r="S444" s="214"/>
      <c r="T444" s="214"/>
      <c r="U444" s="214"/>
      <c r="V444" s="214"/>
      <c r="W444" s="214"/>
      <c r="X444" s="214"/>
      <c r="Y444" s="214"/>
      <c r="Z444" s="214"/>
      <c r="AA444" s="214"/>
      <c r="AB444" s="214"/>
      <c r="AC444" s="214"/>
      <c r="AD444" s="214"/>
      <c r="AE444" s="214"/>
      <c r="AF444" s="214"/>
      <c r="AG444" s="214"/>
      <c r="AH444" s="214"/>
      <c r="AI444" s="214"/>
      <c r="AJ444" s="214"/>
      <c r="AK444" s="214"/>
      <c r="AL444" s="214"/>
      <c r="AM444" s="214"/>
      <c r="AN444" s="214"/>
      <c r="AO444" s="214"/>
      <c r="AP444" s="214"/>
      <c r="AQ444" s="214"/>
      <c r="AR444" s="214"/>
    </row>
    <row r="445" spans="1:44" ht="12.75" customHeight="1" x14ac:dyDescent="0.3">
      <c r="A445" s="13" t="s">
        <v>275</v>
      </c>
      <c r="B445" s="60"/>
      <c r="C445" s="31"/>
      <c r="D445" s="31"/>
      <c r="E445" s="32"/>
      <c r="F445" s="33"/>
      <c r="G445" s="31"/>
      <c r="H445" s="31"/>
      <c r="I445" s="31"/>
      <c r="J445" s="215"/>
      <c r="K445" s="214"/>
      <c r="L445" s="902" t="s">
        <v>1292</v>
      </c>
      <c r="M445" s="902"/>
      <c r="N445" s="902"/>
      <c r="O445" s="902"/>
      <c r="P445" s="902"/>
      <c r="Q445" s="902"/>
      <c r="R445" s="902"/>
      <c r="S445" s="902"/>
      <c r="T445" s="902"/>
      <c r="U445" s="902"/>
      <c r="V445" s="902"/>
      <c r="W445" s="902"/>
      <c r="X445" s="902"/>
      <c r="Y445" s="902"/>
      <c r="Z445" s="902"/>
      <c r="AA445" s="902"/>
      <c r="AB445" s="902"/>
      <c r="AC445" s="902"/>
      <c r="AD445" s="902"/>
      <c r="AE445" s="902"/>
      <c r="AF445" s="902"/>
      <c r="AG445" s="902"/>
      <c r="AH445" s="902"/>
      <c r="AI445" s="902"/>
      <c r="AJ445" s="902"/>
      <c r="AK445" s="902"/>
      <c r="AL445" s="902"/>
      <c r="AM445" s="902"/>
      <c r="AN445" s="902"/>
      <c r="AO445" s="902"/>
      <c r="AP445" s="902"/>
      <c r="AQ445" s="902"/>
      <c r="AR445" s="902"/>
    </row>
    <row r="446" spans="1:44" ht="4.5" customHeight="1" x14ac:dyDescent="0.3">
      <c r="A446" s="13"/>
      <c r="B446" s="60"/>
      <c r="C446" s="31"/>
      <c r="D446" s="31"/>
      <c r="E446" s="32"/>
      <c r="F446" s="33"/>
      <c r="G446" s="31"/>
      <c r="H446" s="31"/>
      <c r="I446" s="31"/>
      <c r="J446" s="215"/>
      <c r="K446" s="214"/>
      <c r="L446" s="214"/>
      <c r="M446" s="214"/>
      <c r="N446" s="214"/>
      <c r="O446" s="214"/>
      <c r="P446" s="214"/>
      <c r="Q446" s="214"/>
      <c r="R446" s="214"/>
      <c r="S446" s="214"/>
      <c r="T446" s="214"/>
      <c r="U446" s="214"/>
      <c r="V446" s="214"/>
      <c r="W446" s="214"/>
      <c r="X446" s="214"/>
      <c r="Y446" s="214"/>
      <c r="Z446" s="214"/>
      <c r="AA446" s="214"/>
      <c r="AB446" s="214"/>
      <c r="AC446" s="214"/>
      <c r="AD446" s="214"/>
      <c r="AE446" s="214"/>
      <c r="AF446" s="214"/>
      <c r="AG446" s="214"/>
      <c r="AH446" s="214"/>
      <c r="AI446" s="214"/>
      <c r="AJ446" s="214"/>
      <c r="AK446" s="214"/>
      <c r="AL446" s="214"/>
      <c r="AM446" s="214"/>
      <c r="AN446" s="214"/>
      <c r="AO446" s="214"/>
      <c r="AP446" s="214"/>
      <c r="AQ446" s="214"/>
      <c r="AR446" s="214"/>
    </row>
    <row r="447" spans="1:44" ht="13.5" customHeight="1" x14ac:dyDescent="0.3">
      <c r="A447" s="13" t="s">
        <v>276</v>
      </c>
      <c r="B447" s="60"/>
      <c r="C447" s="31"/>
      <c r="D447" s="31"/>
      <c r="E447" s="34"/>
      <c r="F447" s="31"/>
      <c r="G447" s="31"/>
      <c r="H447" s="31"/>
      <c r="I447" s="31"/>
      <c r="J447" s="215"/>
      <c r="K447" s="214"/>
      <c r="L447" s="902" t="s">
        <v>1293</v>
      </c>
      <c r="M447" s="902"/>
      <c r="N447" s="902"/>
      <c r="O447" s="902"/>
      <c r="P447" s="902"/>
      <c r="Q447" s="902"/>
      <c r="R447" s="902"/>
      <c r="S447" s="902"/>
      <c r="T447" s="902"/>
      <c r="U447" s="902"/>
      <c r="V447" s="902"/>
      <c r="W447" s="902"/>
      <c r="X447" s="902"/>
      <c r="Y447" s="902"/>
      <c r="Z447" s="902"/>
      <c r="AA447" s="902"/>
      <c r="AB447" s="902"/>
      <c r="AC447" s="902"/>
      <c r="AD447" s="902"/>
      <c r="AE447" s="902"/>
      <c r="AF447" s="902"/>
      <c r="AG447" s="902"/>
      <c r="AH447" s="902"/>
      <c r="AI447" s="902"/>
      <c r="AJ447" s="902"/>
      <c r="AK447" s="902"/>
      <c r="AL447" s="902"/>
      <c r="AM447" s="902"/>
      <c r="AN447" s="902"/>
      <c r="AO447" s="902"/>
      <c r="AP447" s="902"/>
      <c r="AQ447" s="902"/>
      <c r="AR447" s="902"/>
    </row>
    <row r="448" spans="1:44" ht="4.5" customHeight="1" x14ac:dyDescent="0.3">
      <c r="A448" s="13"/>
      <c r="B448" s="60"/>
      <c r="C448" s="31"/>
      <c r="D448" s="31"/>
      <c r="E448" s="34"/>
      <c r="F448" s="31"/>
      <c r="G448" s="31"/>
      <c r="H448" s="31"/>
      <c r="I448" s="31"/>
      <c r="J448" s="215"/>
      <c r="K448" s="214"/>
      <c r="L448" s="229"/>
      <c r="M448" s="229"/>
      <c r="N448" s="229"/>
      <c r="O448" s="229"/>
      <c r="P448" s="229"/>
      <c r="Q448" s="229"/>
      <c r="R448" s="229"/>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row>
    <row r="449" spans="1:44" x14ac:dyDescent="0.3">
      <c r="A449" s="13" t="s">
        <v>277</v>
      </c>
      <c r="B449" s="60"/>
      <c r="C449" s="31"/>
      <c r="D449" s="31"/>
      <c r="E449" s="32"/>
      <c r="F449" s="33"/>
      <c r="G449" s="31"/>
      <c r="H449" s="31"/>
      <c r="I449" s="31"/>
      <c r="J449" s="215"/>
      <c r="K449" s="214"/>
      <c r="L449" s="902" t="s">
        <v>1294</v>
      </c>
      <c r="M449" s="902"/>
      <c r="N449" s="902"/>
      <c r="O449" s="902"/>
      <c r="P449" s="902"/>
      <c r="Q449" s="902"/>
      <c r="R449" s="902"/>
      <c r="S449" s="902"/>
      <c r="T449" s="902"/>
      <c r="U449" s="902"/>
      <c r="V449" s="902"/>
      <c r="W449" s="902"/>
      <c r="X449" s="902"/>
      <c r="Y449" s="902"/>
      <c r="Z449" s="902"/>
      <c r="AA449" s="902"/>
      <c r="AB449" s="902"/>
      <c r="AC449" s="902"/>
      <c r="AD449" s="902"/>
      <c r="AE449" s="902"/>
      <c r="AF449" s="902"/>
      <c r="AG449" s="902"/>
      <c r="AH449" s="902"/>
      <c r="AI449" s="902"/>
      <c r="AJ449" s="902"/>
      <c r="AK449" s="902"/>
      <c r="AL449" s="902"/>
      <c r="AM449" s="902"/>
      <c r="AN449" s="902"/>
      <c r="AO449" s="902"/>
      <c r="AP449" s="902"/>
      <c r="AQ449" s="902"/>
      <c r="AR449" s="902"/>
    </row>
    <row r="450" spans="1:44" ht="4.5" customHeight="1" x14ac:dyDescent="0.3">
      <c r="A450" s="13"/>
      <c r="B450" s="60"/>
      <c r="C450" s="1"/>
      <c r="D450" s="1"/>
      <c r="E450" s="35"/>
      <c r="F450" s="1"/>
      <c r="G450" s="1"/>
      <c r="H450" s="1"/>
      <c r="I450" s="1"/>
      <c r="J450" s="214"/>
      <c r="K450" s="214"/>
      <c r="L450" s="214"/>
      <c r="M450" s="214"/>
      <c r="N450" s="214"/>
      <c r="O450" s="214"/>
      <c r="P450" s="214"/>
      <c r="Q450" s="214"/>
      <c r="R450" s="214"/>
      <c r="S450" s="214"/>
      <c r="T450" s="214"/>
      <c r="U450" s="214"/>
      <c r="V450" s="214"/>
      <c r="W450" s="214"/>
      <c r="X450" s="214"/>
      <c r="Y450" s="214"/>
      <c r="Z450" s="214"/>
      <c r="AA450" s="214"/>
      <c r="AB450" s="214"/>
      <c r="AC450" s="214"/>
      <c r="AD450" s="214"/>
      <c r="AE450" s="214"/>
      <c r="AF450" s="214"/>
      <c r="AG450" s="214"/>
      <c r="AH450" s="214"/>
      <c r="AI450" s="214"/>
      <c r="AJ450" s="214"/>
      <c r="AK450" s="214"/>
      <c r="AL450" s="214"/>
      <c r="AM450" s="214"/>
      <c r="AN450" s="214"/>
      <c r="AO450" s="214"/>
      <c r="AP450" s="214"/>
      <c r="AQ450" s="214"/>
      <c r="AR450" s="214"/>
    </row>
    <row r="451" spans="1:44" ht="13.5" customHeight="1" x14ac:dyDescent="0.3">
      <c r="A451" s="13" t="s">
        <v>278</v>
      </c>
      <c r="B451" s="60"/>
      <c r="C451" s="1"/>
      <c r="D451" s="1"/>
      <c r="E451" s="11"/>
      <c r="F451" s="3"/>
      <c r="G451" s="1"/>
      <c r="H451" s="1"/>
      <c r="I451" s="1"/>
      <c r="J451" s="214"/>
      <c r="K451" s="214"/>
      <c r="L451" s="902" t="s">
        <v>1295</v>
      </c>
      <c r="M451" s="902"/>
      <c r="N451" s="902"/>
      <c r="O451" s="902"/>
      <c r="P451" s="902"/>
      <c r="Q451" s="902"/>
      <c r="R451" s="902"/>
      <c r="S451" s="902"/>
      <c r="T451" s="902"/>
      <c r="U451" s="902"/>
      <c r="V451" s="902"/>
      <c r="W451" s="902"/>
      <c r="X451" s="902"/>
      <c r="Y451" s="902"/>
      <c r="Z451" s="902"/>
      <c r="AA451" s="902"/>
      <c r="AB451" s="902"/>
      <c r="AC451" s="902"/>
      <c r="AD451" s="902"/>
      <c r="AE451" s="902"/>
      <c r="AF451" s="902"/>
      <c r="AG451" s="902"/>
      <c r="AH451" s="902"/>
      <c r="AI451" s="902"/>
      <c r="AJ451" s="902"/>
      <c r="AK451" s="902"/>
      <c r="AL451" s="902"/>
      <c r="AM451" s="902"/>
      <c r="AN451" s="902"/>
      <c r="AO451" s="902"/>
      <c r="AP451" s="902"/>
      <c r="AQ451" s="902"/>
      <c r="AR451" s="902"/>
    </row>
    <row r="452" spans="1:44" ht="4.5" customHeight="1" x14ac:dyDescent="0.3">
      <c r="A452" s="13"/>
      <c r="B452" s="60"/>
      <c r="C452" s="1"/>
      <c r="D452" s="1"/>
      <c r="E452" s="11"/>
      <c r="F452" s="1"/>
      <c r="G452" s="1"/>
      <c r="H452" s="1"/>
      <c r="I452" s="1"/>
      <c r="J452" s="214"/>
      <c r="K452" s="214"/>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row>
    <row r="453" spans="1:44" x14ac:dyDescent="0.3">
      <c r="A453" s="13"/>
      <c r="B453" s="60"/>
      <c r="C453" s="1"/>
      <c r="D453" s="1"/>
      <c r="E453" s="13" t="s">
        <v>700</v>
      </c>
      <c r="G453" s="1"/>
      <c r="H453" s="1"/>
      <c r="I453" s="1"/>
      <c r="J453" s="706" t="str">
        <f>IF(calculations!M88,"describe corrective action proposed to correct any Red Flag or Yellow Flag ranking",IF(calculations!N88,"describe corrective action proposed to correct any Red Flag or Yellow Flag ranking",""))</f>
        <v/>
      </c>
      <c r="K453" s="707"/>
      <c r="L453" s="707"/>
      <c r="M453" s="707"/>
      <c r="N453" s="707"/>
      <c r="O453" s="707"/>
      <c r="P453" s="707"/>
      <c r="Q453" s="707"/>
      <c r="R453" s="707"/>
      <c r="S453" s="707"/>
      <c r="T453" s="707"/>
      <c r="U453" s="707"/>
      <c r="V453" s="707"/>
      <c r="W453" s="707"/>
      <c r="X453" s="707"/>
      <c r="Y453" s="707"/>
      <c r="Z453" s="707"/>
      <c r="AA453" s="707"/>
      <c r="AB453" s="707"/>
      <c r="AC453" s="707"/>
      <c r="AD453" s="707"/>
      <c r="AE453" s="707"/>
      <c r="AF453" s="707"/>
      <c r="AG453" s="707"/>
      <c r="AH453" s="707"/>
      <c r="AI453" s="707"/>
      <c r="AJ453" s="707"/>
      <c r="AK453" s="707"/>
      <c r="AL453" s="707"/>
      <c r="AM453" s="707"/>
      <c r="AN453" s="707"/>
      <c r="AO453" s="707"/>
      <c r="AP453" s="707"/>
      <c r="AQ453" s="707"/>
      <c r="AR453" s="708"/>
    </row>
    <row r="454" spans="1:44" ht="4.5" customHeight="1" x14ac:dyDescent="0.3">
      <c r="A454" s="13"/>
      <c r="B454" s="60"/>
      <c r="C454" s="1"/>
      <c r="D454" s="1"/>
      <c r="E454" s="1"/>
      <c r="G454" s="38"/>
      <c r="H454" s="1"/>
      <c r="I454" s="1"/>
      <c r="J454" s="214"/>
      <c r="K454" s="214"/>
      <c r="L454" s="214"/>
      <c r="M454" s="214"/>
      <c r="N454" s="214"/>
      <c r="O454" s="214"/>
      <c r="P454" s="214"/>
      <c r="Q454" s="214"/>
      <c r="R454" s="214"/>
      <c r="S454" s="214"/>
      <c r="T454" s="214"/>
      <c r="U454" s="214"/>
      <c r="V454" s="214"/>
      <c r="W454" s="214"/>
      <c r="X454" s="214"/>
      <c r="Y454" s="214"/>
      <c r="Z454" s="214"/>
      <c r="AA454" s="214"/>
      <c r="AB454" s="214"/>
      <c r="AC454" s="214"/>
      <c r="AD454" s="214"/>
      <c r="AE454" s="214"/>
      <c r="AF454" s="214"/>
      <c r="AG454" s="214"/>
      <c r="AH454" s="214"/>
      <c r="AI454" s="214"/>
      <c r="AJ454" s="214"/>
      <c r="AK454" s="214"/>
      <c r="AL454" s="214"/>
      <c r="AM454" s="214"/>
      <c r="AN454" s="214"/>
      <c r="AO454" s="214"/>
      <c r="AP454" s="214"/>
      <c r="AQ454" s="214"/>
      <c r="AR454" s="214"/>
    </row>
    <row r="455" spans="1:44" ht="26.25" customHeight="1" x14ac:dyDescent="0.3">
      <c r="A455" s="13"/>
      <c r="B455" s="60"/>
      <c r="C455" s="1"/>
      <c r="D455" s="1"/>
      <c r="E455" s="55" t="str">
        <f>IF(J455&gt;"","REC",IF(calculations!M88,"REC",IF(calculations!N88,"REC","")))</f>
        <v/>
      </c>
      <c r="G455" s="38"/>
      <c r="H455" s="1"/>
      <c r="I455" s="1"/>
      <c r="J455" s="724" t="str">
        <f>IF(calculations!M88=TRUE,Rec!E135,IF(calculations!N88=TRUE,Rec!E136,""))</f>
        <v/>
      </c>
      <c r="K455" s="725"/>
      <c r="L455" s="725"/>
      <c r="M455" s="725"/>
      <c r="N455" s="725"/>
      <c r="O455" s="725"/>
      <c r="P455" s="725"/>
      <c r="Q455" s="725"/>
      <c r="R455" s="725"/>
      <c r="S455" s="725"/>
      <c r="T455" s="725"/>
      <c r="U455" s="725"/>
      <c r="V455" s="725"/>
      <c r="W455" s="725"/>
      <c r="X455" s="725"/>
      <c r="Y455" s="725"/>
      <c r="Z455" s="725"/>
      <c r="AA455" s="725"/>
      <c r="AB455" s="725"/>
      <c r="AC455" s="725"/>
      <c r="AD455" s="725"/>
      <c r="AE455" s="725"/>
      <c r="AF455" s="725"/>
      <c r="AG455" s="725"/>
      <c r="AH455" s="725"/>
      <c r="AI455" s="725"/>
      <c r="AJ455" s="725"/>
      <c r="AK455" s="725"/>
      <c r="AL455" s="725"/>
      <c r="AM455" s="725"/>
      <c r="AN455" s="725"/>
      <c r="AO455" s="725"/>
      <c r="AP455" s="725"/>
      <c r="AQ455" s="725"/>
      <c r="AR455" s="726"/>
    </row>
    <row r="456" spans="1:44" x14ac:dyDescent="0.3">
      <c r="A456" s="13"/>
      <c r="B456" s="60"/>
      <c r="C456" s="1"/>
      <c r="D456" s="1"/>
      <c r="E456" s="11"/>
      <c r="F456" s="37"/>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ht="14.15" x14ac:dyDescent="0.35">
      <c r="A457" s="232" t="s">
        <v>872</v>
      </c>
      <c r="B457" s="60"/>
      <c r="C457" s="1"/>
      <c r="D457" s="30" t="s">
        <v>279</v>
      </c>
      <c r="E457" s="11"/>
      <c r="F457" s="1"/>
      <c r="G457" s="1"/>
      <c r="H457" s="1"/>
      <c r="I457" s="1"/>
      <c r="J457" s="1"/>
      <c r="K457" s="1"/>
      <c r="L457" s="67"/>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ht="4.5" customHeight="1" x14ac:dyDescent="0.3">
      <c r="A458" s="13"/>
      <c r="B458" s="60"/>
      <c r="C458" s="1"/>
      <c r="D458" s="1"/>
      <c r="E458" s="1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ht="26.25" customHeight="1" x14ac:dyDescent="0.3">
      <c r="A459" s="13" t="s">
        <v>280</v>
      </c>
      <c r="B459" s="60"/>
      <c r="C459" s="31"/>
      <c r="D459" s="31"/>
      <c r="E459" s="32"/>
      <c r="F459" s="33"/>
      <c r="G459" s="31"/>
      <c r="H459" s="31"/>
      <c r="I459" s="31"/>
      <c r="J459" s="215"/>
      <c r="K459" s="214"/>
      <c r="L459" s="902" t="s">
        <v>1296</v>
      </c>
      <c r="M459" s="902"/>
      <c r="N459" s="902"/>
      <c r="O459" s="902"/>
      <c r="P459" s="902"/>
      <c r="Q459" s="902"/>
      <c r="R459" s="902"/>
      <c r="S459" s="902"/>
      <c r="T459" s="902"/>
      <c r="U459" s="902"/>
      <c r="V459" s="902"/>
      <c r="W459" s="902"/>
      <c r="X459" s="902"/>
      <c r="Y459" s="902"/>
      <c r="Z459" s="902"/>
      <c r="AA459" s="902"/>
      <c r="AB459" s="902"/>
      <c r="AC459" s="902"/>
      <c r="AD459" s="902"/>
      <c r="AE459" s="902"/>
      <c r="AF459" s="902"/>
      <c r="AG459" s="902"/>
      <c r="AH459" s="902"/>
      <c r="AI459" s="902"/>
      <c r="AJ459" s="902"/>
      <c r="AK459" s="902"/>
      <c r="AL459" s="902"/>
      <c r="AM459" s="902"/>
      <c r="AN459" s="902"/>
      <c r="AO459" s="902"/>
      <c r="AP459" s="902"/>
      <c r="AQ459" s="902"/>
      <c r="AR459" s="902"/>
    </row>
    <row r="460" spans="1:44" ht="4.5" customHeight="1" x14ac:dyDescent="0.3">
      <c r="A460" s="13"/>
      <c r="B460" s="60"/>
      <c r="C460" s="31"/>
      <c r="D460" s="31"/>
      <c r="E460" s="34"/>
      <c r="F460" s="31"/>
      <c r="G460" s="31"/>
      <c r="H460" s="31"/>
      <c r="I460" s="31"/>
      <c r="J460" s="215"/>
      <c r="K460" s="214"/>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row>
    <row r="461" spans="1:44" ht="27" customHeight="1" x14ac:dyDescent="0.3">
      <c r="A461" s="13" t="s">
        <v>281</v>
      </c>
      <c r="B461" s="60"/>
      <c r="C461" s="31"/>
      <c r="D461" s="31"/>
      <c r="E461" s="32"/>
      <c r="F461" s="33"/>
      <c r="G461" s="31"/>
      <c r="H461" s="31"/>
      <c r="I461" s="31"/>
      <c r="J461" s="215"/>
      <c r="K461" s="214"/>
      <c r="L461" s="902" t="s">
        <v>1297</v>
      </c>
      <c r="M461" s="902"/>
      <c r="N461" s="902"/>
      <c r="O461" s="902"/>
      <c r="P461" s="902"/>
      <c r="Q461" s="902"/>
      <c r="R461" s="902"/>
      <c r="S461" s="902"/>
      <c r="T461" s="902"/>
      <c r="U461" s="902"/>
      <c r="V461" s="902"/>
      <c r="W461" s="902"/>
      <c r="X461" s="902"/>
      <c r="Y461" s="902"/>
      <c r="Z461" s="902"/>
      <c r="AA461" s="902"/>
      <c r="AB461" s="902"/>
      <c r="AC461" s="902"/>
      <c r="AD461" s="902"/>
      <c r="AE461" s="902"/>
      <c r="AF461" s="902"/>
      <c r="AG461" s="902"/>
      <c r="AH461" s="902"/>
      <c r="AI461" s="902"/>
      <c r="AJ461" s="902"/>
      <c r="AK461" s="902"/>
      <c r="AL461" s="902"/>
      <c r="AM461" s="902"/>
      <c r="AN461" s="902"/>
      <c r="AO461" s="902"/>
      <c r="AP461" s="902"/>
      <c r="AQ461" s="902"/>
      <c r="AR461" s="902"/>
    </row>
    <row r="462" spans="1:44" ht="4.5" customHeight="1" x14ac:dyDescent="0.3">
      <c r="A462" s="13"/>
      <c r="B462" s="60"/>
      <c r="C462" s="31"/>
      <c r="D462" s="31"/>
      <c r="E462" s="32"/>
      <c r="F462" s="33"/>
      <c r="G462" s="31"/>
      <c r="H462" s="31"/>
      <c r="I462" s="31"/>
      <c r="J462" s="215"/>
      <c r="K462" s="214"/>
      <c r="L462" s="214"/>
      <c r="M462" s="214"/>
      <c r="N462" s="214"/>
      <c r="O462" s="214"/>
      <c r="P462" s="214"/>
      <c r="Q462" s="214"/>
      <c r="R462" s="214"/>
      <c r="S462" s="214"/>
      <c r="T462" s="214"/>
      <c r="U462" s="214"/>
      <c r="V462" s="214"/>
      <c r="W462" s="214"/>
      <c r="X462" s="214"/>
      <c r="Y462" s="214"/>
      <c r="Z462" s="214"/>
      <c r="AA462" s="214"/>
      <c r="AB462" s="214"/>
      <c r="AC462" s="214"/>
      <c r="AD462" s="214"/>
      <c r="AE462" s="214"/>
      <c r="AF462" s="214"/>
      <c r="AG462" s="214"/>
      <c r="AH462" s="214"/>
      <c r="AI462" s="214"/>
      <c r="AJ462" s="214"/>
      <c r="AK462" s="214"/>
      <c r="AL462" s="214"/>
      <c r="AM462" s="214"/>
      <c r="AN462" s="214"/>
      <c r="AO462" s="214"/>
      <c r="AP462" s="214"/>
      <c r="AQ462" s="214"/>
      <c r="AR462" s="214"/>
    </row>
    <row r="463" spans="1:44" ht="26.25" customHeight="1" x14ac:dyDescent="0.3">
      <c r="A463" s="13" t="s">
        <v>282</v>
      </c>
      <c r="B463" s="60"/>
      <c r="C463" s="31"/>
      <c r="D463" s="31"/>
      <c r="E463" s="34"/>
      <c r="F463" s="31"/>
      <c r="G463" s="31"/>
      <c r="H463" s="31"/>
      <c r="I463" s="31"/>
      <c r="J463" s="215"/>
      <c r="K463" s="214"/>
      <c r="L463" s="902" t="s">
        <v>1298</v>
      </c>
      <c r="M463" s="902"/>
      <c r="N463" s="902"/>
      <c r="O463" s="902"/>
      <c r="P463" s="902"/>
      <c r="Q463" s="902"/>
      <c r="R463" s="902"/>
      <c r="S463" s="902"/>
      <c r="T463" s="902"/>
      <c r="U463" s="902"/>
      <c r="V463" s="902"/>
      <c r="W463" s="902"/>
      <c r="X463" s="902"/>
      <c r="Y463" s="902"/>
      <c r="Z463" s="902"/>
      <c r="AA463" s="902"/>
      <c r="AB463" s="902"/>
      <c r="AC463" s="902"/>
      <c r="AD463" s="902"/>
      <c r="AE463" s="902"/>
      <c r="AF463" s="902"/>
      <c r="AG463" s="902"/>
      <c r="AH463" s="902"/>
      <c r="AI463" s="902"/>
      <c r="AJ463" s="902"/>
      <c r="AK463" s="902"/>
      <c r="AL463" s="902"/>
      <c r="AM463" s="902"/>
      <c r="AN463" s="902"/>
      <c r="AO463" s="902"/>
      <c r="AP463" s="902"/>
      <c r="AQ463" s="902"/>
      <c r="AR463" s="902"/>
    </row>
    <row r="464" spans="1:44" ht="4.5" customHeight="1" x14ac:dyDescent="0.3">
      <c r="A464" s="13"/>
      <c r="B464" s="60"/>
      <c r="C464" s="31"/>
      <c r="D464" s="31"/>
      <c r="E464" s="34"/>
      <c r="F464" s="31"/>
      <c r="G464" s="31"/>
      <c r="H464" s="31"/>
      <c r="I464" s="31"/>
      <c r="J464" s="215"/>
      <c r="K464" s="214"/>
      <c r="L464" s="229"/>
      <c r="M464" s="229"/>
      <c r="N464" s="229"/>
      <c r="O464" s="229"/>
      <c r="P464" s="229"/>
      <c r="Q464" s="229"/>
      <c r="R464" s="229"/>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row>
    <row r="465" spans="1:44" ht="26.25" customHeight="1" x14ac:dyDescent="0.3">
      <c r="A465" s="13" t="s">
        <v>283</v>
      </c>
      <c r="B465" s="60"/>
      <c r="C465" s="31"/>
      <c r="D465" s="31"/>
      <c r="E465" s="32"/>
      <c r="F465" s="33"/>
      <c r="G465" s="31"/>
      <c r="H465" s="31"/>
      <c r="I465" s="31"/>
      <c r="J465" s="215"/>
      <c r="K465" s="214"/>
      <c r="L465" s="902" t="s">
        <v>1299</v>
      </c>
      <c r="M465" s="902"/>
      <c r="N465" s="902"/>
      <c r="O465" s="902"/>
      <c r="P465" s="902"/>
      <c r="Q465" s="902"/>
      <c r="R465" s="902"/>
      <c r="S465" s="902"/>
      <c r="T465" s="902"/>
      <c r="U465" s="902"/>
      <c r="V465" s="902"/>
      <c r="W465" s="902"/>
      <c r="X465" s="902"/>
      <c r="Y465" s="902"/>
      <c r="Z465" s="902"/>
      <c r="AA465" s="902"/>
      <c r="AB465" s="902"/>
      <c r="AC465" s="902"/>
      <c r="AD465" s="902"/>
      <c r="AE465" s="902"/>
      <c r="AF465" s="902"/>
      <c r="AG465" s="902"/>
      <c r="AH465" s="902"/>
      <c r="AI465" s="902"/>
      <c r="AJ465" s="902"/>
      <c r="AK465" s="902"/>
      <c r="AL465" s="902"/>
      <c r="AM465" s="902"/>
      <c r="AN465" s="902"/>
      <c r="AO465" s="902"/>
      <c r="AP465" s="902"/>
      <c r="AQ465" s="902"/>
      <c r="AR465" s="902"/>
    </row>
    <row r="466" spans="1:44" ht="4.5" customHeight="1" x14ac:dyDescent="0.3">
      <c r="A466" s="13"/>
      <c r="B466" s="60"/>
      <c r="C466" s="1"/>
      <c r="D466" s="1"/>
      <c r="E466" s="35"/>
      <c r="F466" s="1"/>
      <c r="G466" s="1"/>
      <c r="H466" s="1"/>
      <c r="I466" s="1"/>
      <c r="J466" s="214"/>
      <c r="K466" s="214"/>
      <c r="L466" s="214"/>
      <c r="M466" s="214"/>
      <c r="N466" s="214"/>
      <c r="O466" s="214"/>
      <c r="P466" s="214"/>
      <c r="Q466" s="214"/>
      <c r="R466" s="214"/>
      <c r="S466" s="214"/>
      <c r="T466" s="214"/>
      <c r="U466" s="214"/>
      <c r="V466" s="214"/>
      <c r="W466" s="214"/>
      <c r="X466" s="214"/>
      <c r="Y466" s="214"/>
      <c r="Z466" s="214"/>
      <c r="AA466" s="214"/>
      <c r="AB466" s="214"/>
      <c r="AC466" s="214"/>
      <c r="AD466" s="214"/>
      <c r="AE466" s="214"/>
      <c r="AF466" s="214"/>
      <c r="AG466" s="214"/>
      <c r="AH466" s="214"/>
      <c r="AI466" s="214"/>
      <c r="AJ466" s="214"/>
      <c r="AK466" s="214"/>
      <c r="AL466" s="214"/>
      <c r="AM466" s="214"/>
      <c r="AN466" s="214"/>
      <c r="AO466" s="214"/>
      <c r="AP466" s="214"/>
      <c r="AQ466" s="214"/>
      <c r="AR466" s="214"/>
    </row>
    <row r="467" spans="1:44" ht="26.25" customHeight="1" x14ac:dyDescent="0.3">
      <c r="A467" s="13" t="s">
        <v>196</v>
      </c>
      <c r="B467" s="60"/>
      <c r="C467" s="1"/>
      <c r="D467" s="1"/>
      <c r="E467" s="11"/>
      <c r="F467" s="3"/>
      <c r="G467" s="1"/>
      <c r="H467" s="1"/>
      <c r="I467" s="1"/>
      <c r="J467" s="214"/>
      <c r="K467" s="214"/>
      <c r="L467" s="902" t="s">
        <v>1300</v>
      </c>
      <c r="M467" s="902"/>
      <c r="N467" s="902"/>
      <c r="O467" s="902"/>
      <c r="P467" s="902"/>
      <c r="Q467" s="902"/>
      <c r="R467" s="902"/>
      <c r="S467" s="902"/>
      <c r="T467" s="902"/>
      <c r="U467" s="902"/>
      <c r="V467" s="902"/>
      <c r="W467" s="902"/>
      <c r="X467" s="902"/>
      <c r="Y467" s="902"/>
      <c r="Z467" s="902"/>
      <c r="AA467" s="902"/>
      <c r="AB467" s="902"/>
      <c r="AC467" s="902"/>
      <c r="AD467" s="902"/>
      <c r="AE467" s="902"/>
      <c r="AF467" s="902"/>
      <c r="AG467" s="902"/>
      <c r="AH467" s="902"/>
      <c r="AI467" s="902"/>
      <c r="AJ467" s="902"/>
      <c r="AK467" s="902"/>
      <c r="AL467" s="902"/>
      <c r="AM467" s="902"/>
      <c r="AN467" s="902"/>
      <c r="AO467" s="902"/>
      <c r="AP467" s="902"/>
      <c r="AQ467" s="902"/>
      <c r="AR467" s="902"/>
    </row>
    <row r="468" spans="1:44" ht="4.5" customHeight="1" x14ac:dyDescent="0.3">
      <c r="A468" s="4"/>
      <c r="B468" s="60"/>
      <c r="C468" s="1"/>
      <c r="D468" s="1"/>
      <c r="E468" s="11"/>
      <c r="F468" s="1"/>
      <c r="G468" s="1"/>
      <c r="H468" s="1"/>
      <c r="I468" s="1"/>
      <c r="J468" s="214"/>
      <c r="K468" s="214"/>
      <c r="L468" s="214"/>
      <c r="M468" s="214"/>
      <c r="N468" s="214"/>
      <c r="O468" s="214"/>
      <c r="P468" s="214"/>
      <c r="Q468" s="214"/>
      <c r="R468" s="214"/>
      <c r="S468" s="214"/>
      <c r="T468" s="214"/>
      <c r="U468" s="214"/>
      <c r="V468" s="214"/>
      <c r="W468" s="214"/>
      <c r="X468" s="214"/>
      <c r="Y468" s="214"/>
      <c r="Z468" s="214"/>
      <c r="AA468" s="214"/>
      <c r="AB468" s="214"/>
      <c r="AC468" s="214"/>
      <c r="AD468" s="214"/>
      <c r="AE468" s="214"/>
      <c r="AF468" s="214"/>
      <c r="AG468" s="214"/>
      <c r="AH468" s="214"/>
      <c r="AI468" s="214"/>
      <c r="AJ468" s="214"/>
      <c r="AK468" s="214"/>
      <c r="AL468" s="214"/>
      <c r="AM468" s="214"/>
      <c r="AN468" s="214"/>
      <c r="AO468" s="214"/>
      <c r="AP468" s="214"/>
      <c r="AQ468" s="214"/>
      <c r="AR468" s="214"/>
    </row>
    <row r="469" spans="1:44" x14ac:dyDescent="0.3">
      <c r="A469" s="4"/>
      <c r="B469" s="60"/>
      <c r="C469" s="1"/>
      <c r="D469" s="1"/>
      <c r="E469" s="13" t="s">
        <v>700</v>
      </c>
      <c r="G469" s="1"/>
      <c r="H469" s="1"/>
      <c r="I469" s="1"/>
      <c r="J469" s="706" t="str">
        <f>IF(calculations!M89,"describe corrective action proposed to correct any Red Flag or Yellow Flag ranking",IF(calculations!N89,"describe corrective action proposed to correct any Red Flag or Yellow Flag ranking",""))</f>
        <v/>
      </c>
      <c r="K469" s="707"/>
      <c r="L469" s="707"/>
      <c r="M469" s="707"/>
      <c r="N469" s="707"/>
      <c r="O469" s="707"/>
      <c r="P469" s="707"/>
      <c r="Q469" s="707"/>
      <c r="R469" s="707"/>
      <c r="S469" s="707"/>
      <c r="T469" s="707"/>
      <c r="U469" s="707"/>
      <c r="V469" s="707"/>
      <c r="W469" s="707"/>
      <c r="X469" s="707"/>
      <c r="Y469" s="707"/>
      <c r="Z469" s="707"/>
      <c r="AA469" s="707"/>
      <c r="AB469" s="707"/>
      <c r="AC469" s="707"/>
      <c r="AD469" s="707"/>
      <c r="AE469" s="707"/>
      <c r="AF469" s="707"/>
      <c r="AG469" s="707"/>
      <c r="AH469" s="707"/>
      <c r="AI469" s="707"/>
      <c r="AJ469" s="707"/>
      <c r="AK469" s="707"/>
      <c r="AL469" s="707"/>
      <c r="AM469" s="707"/>
      <c r="AN469" s="707"/>
      <c r="AO469" s="707"/>
      <c r="AP469" s="707"/>
      <c r="AQ469" s="707"/>
      <c r="AR469" s="708"/>
    </row>
    <row r="470" spans="1:44" s="1" customFormat="1" ht="4.5" customHeight="1" x14ac:dyDescent="0.3">
      <c r="A470" s="4"/>
      <c r="B470" s="104"/>
      <c r="E470" s="13"/>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row>
    <row r="471" spans="1:44" ht="27.75" customHeight="1" x14ac:dyDescent="0.3">
      <c r="A471" s="4"/>
      <c r="B471" s="60"/>
      <c r="C471" s="1"/>
      <c r="D471" s="1"/>
      <c r="E471" s="55" t="str">
        <f>IF(J471&gt;"","REC",IF(calculations!M89,"REC",IF(calculations!N89,"REC","")))</f>
        <v/>
      </c>
      <c r="G471" s="38"/>
      <c r="H471" s="1"/>
      <c r="I471" s="1"/>
      <c r="J471" s="724" t="str">
        <f>IF(calculations!M89,Rec!E137,IF(calculations!N89,Rec!E138,""))</f>
        <v/>
      </c>
      <c r="K471" s="725"/>
      <c r="L471" s="725"/>
      <c r="M471" s="725"/>
      <c r="N471" s="725"/>
      <c r="O471" s="725"/>
      <c r="P471" s="725"/>
      <c r="Q471" s="725"/>
      <c r="R471" s="725"/>
      <c r="S471" s="725"/>
      <c r="T471" s="725"/>
      <c r="U471" s="725"/>
      <c r="V471" s="725"/>
      <c r="W471" s="725"/>
      <c r="X471" s="725"/>
      <c r="Y471" s="725"/>
      <c r="Z471" s="725"/>
      <c r="AA471" s="725"/>
      <c r="AB471" s="725"/>
      <c r="AC471" s="725"/>
      <c r="AD471" s="725"/>
      <c r="AE471" s="725"/>
      <c r="AF471" s="725"/>
      <c r="AG471" s="725"/>
      <c r="AH471" s="725"/>
      <c r="AI471" s="725"/>
      <c r="AJ471" s="725"/>
      <c r="AK471" s="725"/>
      <c r="AL471" s="725"/>
      <c r="AM471" s="725"/>
      <c r="AN471" s="725"/>
      <c r="AO471" s="725"/>
      <c r="AP471" s="725"/>
      <c r="AQ471" s="725"/>
      <c r="AR471" s="726"/>
    </row>
    <row r="472" spans="1:44" x14ac:dyDescent="0.3">
      <c r="A472" s="4"/>
      <c r="B472" s="60"/>
      <c r="C472" s="1"/>
      <c r="D472" s="1"/>
      <c r="E472" s="11"/>
      <c r="F472" s="37"/>
      <c r="G472" s="1"/>
      <c r="H472" s="1"/>
      <c r="I472" s="1"/>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row>
    <row r="473" spans="1:44" ht="14.15" x14ac:dyDescent="0.35">
      <c r="A473" s="232" t="s">
        <v>680</v>
      </c>
      <c r="B473" s="60"/>
      <c r="C473" s="1"/>
      <c r="D473" s="30" t="s">
        <v>219</v>
      </c>
      <c r="E473" s="1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1:44" ht="4.5" customHeight="1" x14ac:dyDescent="0.3">
      <c r="A474" s="13"/>
      <c r="B474" s="60"/>
      <c r="C474" s="1"/>
      <c r="D474" s="1"/>
      <c r="E474" s="1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1:44" ht="26.25" customHeight="1" x14ac:dyDescent="0.3">
      <c r="A475" s="13" t="s">
        <v>220</v>
      </c>
      <c r="B475" s="60"/>
      <c r="C475" s="31"/>
      <c r="D475" s="31"/>
      <c r="E475" s="32"/>
      <c r="F475" s="33"/>
      <c r="G475" s="31"/>
      <c r="H475" s="31"/>
      <c r="I475" s="31"/>
      <c r="J475" s="215"/>
      <c r="K475" s="214"/>
      <c r="L475" s="902" t="s">
        <v>1301</v>
      </c>
      <c r="M475" s="902"/>
      <c r="N475" s="902"/>
      <c r="O475" s="902"/>
      <c r="P475" s="902"/>
      <c r="Q475" s="902"/>
      <c r="R475" s="902"/>
      <c r="S475" s="902"/>
      <c r="T475" s="902"/>
      <c r="U475" s="902"/>
      <c r="V475" s="902"/>
      <c r="W475" s="902"/>
      <c r="X475" s="902"/>
      <c r="Y475" s="902"/>
      <c r="Z475" s="902"/>
      <c r="AA475" s="902"/>
      <c r="AB475" s="902"/>
      <c r="AC475" s="902"/>
      <c r="AD475" s="902"/>
      <c r="AE475" s="902"/>
      <c r="AF475" s="902"/>
      <c r="AG475" s="902"/>
      <c r="AH475" s="902"/>
      <c r="AI475" s="902"/>
      <c r="AJ475" s="902"/>
      <c r="AK475" s="902"/>
      <c r="AL475" s="902"/>
      <c r="AM475" s="902"/>
      <c r="AN475" s="902"/>
      <c r="AO475" s="902"/>
      <c r="AP475" s="902"/>
      <c r="AQ475" s="902"/>
      <c r="AR475" s="902"/>
    </row>
    <row r="476" spans="1:44" ht="4.5" customHeight="1" x14ac:dyDescent="0.3">
      <c r="A476" s="13"/>
      <c r="B476" s="60"/>
      <c r="C476" s="31"/>
      <c r="D476" s="31"/>
      <c r="E476" s="34"/>
      <c r="F476" s="31"/>
      <c r="G476" s="31"/>
      <c r="H476" s="31"/>
      <c r="I476" s="31"/>
      <c r="J476" s="215"/>
      <c r="K476" s="214"/>
      <c r="L476" s="214"/>
      <c r="M476" s="214"/>
      <c r="N476" s="214"/>
      <c r="O476" s="214"/>
      <c r="P476" s="214"/>
      <c r="Q476" s="214"/>
      <c r="R476" s="214"/>
      <c r="S476" s="214"/>
      <c r="T476" s="214"/>
      <c r="U476" s="214"/>
      <c r="V476" s="214"/>
      <c r="W476" s="214"/>
      <c r="X476" s="214"/>
      <c r="Y476" s="214"/>
      <c r="Z476" s="214"/>
      <c r="AA476" s="214"/>
      <c r="AB476" s="214"/>
      <c r="AC476" s="214"/>
      <c r="AD476" s="214"/>
      <c r="AE476" s="214"/>
      <c r="AF476" s="214"/>
      <c r="AG476" s="214"/>
      <c r="AH476" s="214"/>
      <c r="AI476" s="214"/>
      <c r="AJ476" s="214"/>
      <c r="AK476" s="214"/>
      <c r="AL476" s="214"/>
      <c r="AM476" s="214"/>
      <c r="AN476" s="214"/>
      <c r="AO476" s="214"/>
      <c r="AP476" s="214"/>
      <c r="AQ476" s="214"/>
      <c r="AR476" s="214"/>
    </row>
    <row r="477" spans="1:44" ht="26.25" customHeight="1" x14ac:dyDescent="0.3">
      <c r="A477" s="13" t="s">
        <v>221</v>
      </c>
      <c r="B477" s="60"/>
      <c r="C477" s="31"/>
      <c r="D477" s="31"/>
      <c r="E477" s="32"/>
      <c r="F477" s="33"/>
      <c r="G477" s="31"/>
      <c r="H477" s="31"/>
      <c r="I477" s="31"/>
      <c r="J477" s="215"/>
      <c r="K477" s="214"/>
      <c r="L477" s="902" t="s">
        <v>1302</v>
      </c>
      <c r="M477" s="902"/>
      <c r="N477" s="902"/>
      <c r="O477" s="902"/>
      <c r="P477" s="902"/>
      <c r="Q477" s="902"/>
      <c r="R477" s="902"/>
      <c r="S477" s="902"/>
      <c r="T477" s="902"/>
      <c r="U477" s="902"/>
      <c r="V477" s="902"/>
      <c r="W477" s="902"/>
      <c r="X477" s="902"/>
      <c r="Y477" s="902"/>
      <c r="Z477" s="902"/>
      <c r="AA477" s="902"/>
      <c r="AB477" s="902"/>
      <c r="AC477" s="902"/>
      <c r="AD477" s="902"/>
      <c r="AE477" s="902"/>
      <c r="AF477" s="902"/>
      <c r="AG477" s="902"/>
      <c r="AH477" s="902"/>
      <c r="AI477" s="902"/>
      <c r="AJ477" s="902"/>
      <c r="AK477" s="902"/>
      <c r="AL477" s="902"/>
      <c r="AM477" s="902"/>
      <c r="AN477" s="902"/>
      <c r="AO477" s="902"/>
      <c r="AP477" s="902"/>
      <c r="AQ477" s="902"/>
      <c r="AR477" s="902"/>
    </row>
    <row r="478" spans="1:44" ht="4.5" customHeight="1" x14ac:dyDescent="0.3">
      <c r="A478" s="13"/>
      <c r="B478" s="60"/>
      <c r="C478" s="31"/>
      <c r="D478" s="31"/>
      <c r="E478" s="32"/>
      <c r="F478" s="33"/>
      <c r="G478" s="31"/>
      <c r="H478" s="31"/>
      <c r="I478" s="31"/>
      <c r="J478" s="215"/>
      <c r="K478" s="214"/>
      <c r="L478" s="214"/>
      <c r="M478" s="214"/>
      <c r="N478" s="214"/>
      <c r="O478" s="214"/>
      <c r="P478" s="214"/>
      <c r="Q478" s="214"/>
      <c r="R478" s="214"/>
      <c r="S478" s="214"/>
      <c r="T478" s="214"/>
      <c r="U478" s="214"/>
      <c r="V478" s="214"/>
      <c r="W478" s="214"/>
      <c r="X478" s="214"/>
      <c r="Y478" s="214"/>
      <c r="Z478" s="214"/>
      <c r="AA478" s="214"/>
      <c r="AB478" s="214"/>
      <c r="AC478" s="214"/>
      <c r="AD478" s="214"/>
      <c r="AE478" s="214"/>
      <c r="AF478" s="214"/>
      <c r="AG478" s="214"/>
      <c r="AH478" s="214"/>
      <c r="AI478" s="214"/>
      <c r="AJ478" s="214"/>
      <c r="AK478" s="214"/>
      <c r="AL478" s="214"/>
      <c r="AM478" s="214"/>
      <c r="AN478" s="214"/>
      <c r="AO478" s="214"/>
      <c r="AP478" s="214"/>
      <c r="AQ478" s="214"/>
      <c r="AR478" s="214"/>
    </row>
    <row r="479" spans="1:44" x14ac:dyDescent="0.3">
      <c r="A479" s="13" t="s">
        <v>222</v>
      </c>
      <c r="B479" s="60"/>
      <c r="C479" s="31"/>
      <c r="D479" s="31"/>
      <c r="E479" s="34"/>
      <c r="F479" s="31"/>
      <c r="G479" s="31"/>
      <c r="H479" s="31"/>
      <c r="I479" s="31"/>
      <c r="J479" s="215"/>
      <c r="K479" s="214"/>
      <c r="L479" s="902" t="s">
        <v>1303</v>
      </c>
      <c r="M479" s="902"/>
      <c r="N479" s="902"/>
      <c r="O479" s="902"/>
      <c r="P479" s="902"/>
      <c r="Q479" s="902"/>
      <c r="R479" s="902"/>
      <c r="S479" s="902"/>
      <c r="T479" s="902"/>
      <c r="U479" s="902"/>
      <c r="V479" s="902"/>
      <c r="W479" s="902"/>
      <c r="X479" s="902"/>
      <c r="Y479" s="902"/>
      <c r="Z479" s="902"/>
      <c r="AA479" s="902"/>
      <c r="AB479" s="902"/>
      <c r="AC479" s="902"/>
      <c r="AD479" s="902"/>
      <c r="AE479" s="902"/>
      <c r="AF479" s="902"/>
      <c r="AG479" s="902"/>
      <c r="AH479" s="902"/>
      <c r="AI479" s="902"/>
      <c r="AJ479" s="902"/>
      <c r="AK479" s="902"/>
      <c r="AL479" s="902"/>
      <c r="AM479" s="902"/>
      <c r="AN479" s="902"/>
      <c r="AO479" s="902"/>
      <c r="AP479" s="902"/>
      <c r="AQ479" s="902"/>
      <c r="AR479" s="902"/>
    </row>
    <row r="480" spans="1:44" ht="4.5" customHeight="1" x14ac:dyDescent="0.3">
      <c r="A480" s="13"/>
      <c r="B480" s="60"/>
      <c r="C480" s="31"/>
      <c r="D480" s="31"/>
      <c r="E480" s="34"/>
      <c r="F480" s="31"/>
      <c r="G480" s="31"/>
      <c r="H480" s="31"/>
      <c r="I480" s="31"/>
      <c r="J480" s="215"/>
      <c r="K480" s="214"/>
      <c r="L480" s="214"/>
      <c r="M480" s="214"/>
      <c r="N480" s="214"/>
      <c r="O480" s="214"/>
      <c r="P480" s="214"/>
      <c r="Q480" s="214"/>
      <c r="R480" s="214"/>
      <c r="S480" s="214"/>
      <c r="T480" s="214"/>
      <c r="U480" s="214"/>
      <c r="V480" s="214"/>
      <c r="W480" s="214"/>
      <c r="X480" s="214"/>
      <c r="Y480" s="214"/>
      <c r="Z480" s="214"/>
      <c r="AA480" s="214"/>
      <c r="AB480" s="214"/>
      <c r="AC480" s="214"/>
      <c r="AD480" s="214"/>
      <c r="AE480" s="214"/>
      <c r="AF480" s="214"/>
      <c r="AG480" s="214"/>
      <c r="AH480" s="214"/>
      <c r="AI480" s="214"/>
      <c r="AJ480" s="214"/>
      <c r="AK480" s="214"/>
      <c r="AL480" s="214"/>
      <c r="AM480" s="214"/>
      <c r="AN480" s="214"/>
      <c r="AO480" s="214"/>
      <c r="AP480" s="214"/>
      <c r="AQ480" s="214"/>
      <c r="AR480" s="214"/>
    </row>
    <row r="481" spans="1:44" x14ac:dyDescent="0.3">
      <c r="A481" s="13" t="s">
        <v>223</v>
      </c>
      <c r="B481" s="60"/>
      <c r="C481" s="31"/>
      <c r="D481" s="31"/>
      <c r="E481" s="32"/>
      <c r="F481" s="33"/>
      <c r="G481" s="31"/>
      <c r="H481" s="31"/>
      <c r="I481" s="31"/>
      <c r="J481" s="215"/>
      <c r="K481" s="214"/>
      <c r="L481" s="902" t="s">
        <v>1304</v>
      </c>
      <c r="M481" s="902"/>
      <c r="N481" s="902"/>
      <c r="O481" s="902"/>
      <c r="P481" s="902"/>
      <c r="Q481" s="902"/>
      <c r="R481" s="902"/>
      <c r="S481" s="902"/>
      <c r="T481" s="902"/>
      <c r="U481" s="902"/>
      <c r="V481" s="902"/>
      <c r="W481" s="902"/>
      <c r="X481" s="902"/>
      <c r="Y481" s="902"/>
      <c r="Z481" s="902"/>
      <c r="AA481" s="902"/>
      <c r="AB481" s="902"/>
      <c r="AC481" s="902"/>
      <c r="AD481" s="902"/>
      <c r="AE481" s="902"/>
      <c r="AF481" s="902"/>
      <c r="AG481" s="902"/>
      <c r="AH481" s="902"/>
      <c r="AI481" s="902"/>
      <c r="AJ481" s="902"/>
      <c r="AK481" s="902"/>
      <c r="AL481" s="902"/>
      <c r="AM481" s="902"/>
      <c r="AN481" s="902"/>
      <c r="AO481" s="902"/>
      <c r="AP481" s="902"/>
      <c r="AQ481" s="902"/>
      <c r="AR481" s="902"/>
    </row>
    <row r="482" spans="1:44" ht="4.5" customHeight="1" x14ac:dyDescent="0.3">
      <c r="A482" s="13"/>
      <c r="B482" s="60"/>
      <c r="C482" s="1"/>
      <c r="D482" s="1"/>
      <c r="E482" s="35"/>
      <c r="F482" s="1"/>
      <c r="G482" s="1"/>
      <c r="H482" s="1"/>
      <c r="I482" s="1"/>
      <c r="J482" s="214"/>
      <c r="K482" s="214"/>
      <c r="L482" s="214"/>
      <c r="M482" s="214"/>
      <c r="N482" s="214"/>
      <c r="O482" s="214"/>
      <c r="P482" s="214"/>
      <c r="Q482" s="214"/>
      <c r="R482" s="214"/>
      <c r="S482" s="214"/>
      <c r="T482" s="214"/>
      <c r="U482" s="214"/>
      <c r="V482" s="214"/>
      <c r="W482" s="214"/>
      <c r="X482" s="214"/>
      <c r="Y482" s="214"/>
      <c r="Z482" s="214"/>
      <c r="AA482" s="214"/>
      <c r="AB482" s="214"/>
      <c r="AC482" s="214"/>
      <c r="AD482" s="214"/>
      <c r="AE482" s="214"/>
      <c r="AF482" s="214"/>
      <c r="AG482" s="214"/>
      <c r="AH482" s="214"/>
      <c r="AI482" s="214"/>
      <c r="AJ482" s="214"/>
      <c r="AK482" s="214"/>
      <c r="AL482" s="214"/>
      <c r="AM482" s="214"/>
      <c r="AN482" s="214"/>
      <c r="AO482" s="214"/>
      <c r="AP482" s="214"/>
      <c r="AQ482" s="214"/>
      <c r="AR482" s="214"/>
    </row>
    <row r="483" spans="1:44" x14ac:dyDescent="0.3">
      <c r="A483" s="13" t="s">
        <v>224</v>
      </c>
      <c r="B483" s="60"/>
      <c r="C483" s="1"/>
      <c r="D483" s="1"/>
      <c r="E483" s="11"/>
      <c r="F483" s="3"/>
      <c r="G483" s="1"/>
      <c r="H483" s="1"/>
      <c r="I483" s="1"/>
      <c r="J483" s="214"/>
      <c r="K483" s="214"/>
      <c r="L483" s="902" t="s">
        <v>1305</v>
      </c>
      <c r="M483" s="902"/>
      <c r="N483" s="902"/>
      <c r="O483" s="902"/>
      <c r="P483" s="902"/>
      <c r="Q483" s="902"/>
      <c r="R483" s="902"/>
      <c r="S483" s="902"/>
      <c r="T483" s="902"/>
      <c r="U483" s="902"/>
      <c r="V483" s="902"/>
      <c r="W483" s="902"/>
      <c r="X483" s="902"/>
      <c r="Y483" s="902"/>
      <c r="Z483" s="902"/>
      <c r="AA483" s="902"/>
      <c r="AB483" s="902"/>
      <c r="AC483" s="902"/>
      <c r="AD483" s="902"/>
      <c r="AE483" s="902"/>
      <c r="AF483" s="902"/>
      <c r="AG483" s="902"/>
      <c r="AH483" s="902"/>
      <c r="AI483" s="902"/>
      <c r="AJ483" s="902"/>
      <c r="AK483" s="902"/>
      <c r="AL483" s="902"/>
      <c r="AM483" s="902"/>
      <c r="AN483" s="902"/>
      <c r="AO483" s="902"/>
      <c r="AP483" s="902"/>
      <c r="AQ483" s="902"/>
      <c r="AR483" s="902"/>
    </row>
    <row r="484" spans="1:44" ht="4.5" customHeight="1" x14ac:dyDescent="0.3">
      <c r="A484" s="13"/>
      <c r="B484" s="60"/>
      <c r="C484" s="1"/>
      <c r="D484" s="1"/>
      <c r="E484" s="11"/>
      <c r="F484" s="1"/>
      <c r="G484" s="1"/>
      <c r="H484" s="1"/>
      <c r="I484" s="1"/>
      <c r="J484" s="214"/>
      <c r="K484" s="214"/>
      <c r="L484" s="214"/>
      <c r="M484" s="214"/>
      <c r="N484" s="214"/>
      <c r="O484" s="214"/>
      <c r="P484" s="214"/>
      <c r="Q484" s="214"/>
      <c r="R484" s="214"/>
      <c r="S484" s="214"/>
      <c r="T484" s="214"/>
      <c r="U484" s="214"/>
      <c r="V484" s="214"/>
      <c r="W484" s="214"/>
      <c r="X484" s="214"/>
      <c r="Y484" s="214"/>
      <c r="Z484" s="214"/>
      <c r="AA484" s="214"/>
      <c r="AB484" s="214"/>
      <c r="AC484" s="214"/>
      <c r="AD484" s="214"/>
      <c r="AE484" s="214"/>
      <c r="AF484" s="214"/>
      <c r="AG484" s="214"/>
      <c r="AH484" s="214"/>
      <c r="AI484" s="214"/>
      <c r="AJ484" s="214"/>
      <c r="AK484" s="214"/>
      <c r="AL484" s="214"/>
      <c r="AM484" s="214"/>
      <c r="AN484" s="214"/>
      <c r="AO484" s="214"/>
      <c r="AP484" s="214"/>
      <c r="AQ484" s="214"/>
      <c r="AR484" s="214"/>
    </row>
    <row r="485" spans="1:44" x14ac:dyDescent="0.3">
      <c r="A485" s="13"/>
      <c r="B485" s="60"/>
      <c r="C485" s="1"/>
      <c r="D485" s="1"/>
      <c r="E485" s="13" t="s">
        <v>700</v>
      </c>
      <c r="G485" s="1"/>
      <c r="H485" s="1"/>
      <c r="I485" s="1"/>
      <c r="J485" s="706" t="str">
        <f>IF(calculations!M90,"describe corrective action proposed to correct any Red Flag or Yellow Flag ranking",IF(calculations!N90,"describe corrective action proposed to correct any Red Flag or Yellow Flag ranking",""))</f>
        <v/>
      </c>
      <c r="K485" s="707"/>
      <c r="L485" s="707"/>
      <c r="M485" s="707"/>
      <c r="N485" s="707"/>
      <c r="O485" s="707"/>
      <c r="P485" s="707"/>
      <c r="Q485" s="707"/>
      <c r="R485" s="707"/>
      <c r="S485" s="707"/>
      <c r="T485" s="707"/>
      <c r="U485" s="707"/>
      <c r="V485" s="707"/>
      <c r="W485" s="707"/>
      <c r="X485" s="707"/>
      <c r="Y485" s="707"/>
      <c r="Z485" s="707"/>
      <c r="AA485" s="707"/>
      <c r="AB485" s="707"/>
      <c r="AC485" s="707"/>
      <c r="AD485" s="707"/>
      <c r="AE485" s="707"/>
      <c r="AF485" s="707"/>
      <c r="AG485" s="707"/>
      <c r="AH485" s="707"/>
      <c r="AI485" s="707"/>
      <c r="AJ485" s="707"/>
      <c r="AK485" s="707"/>
      <c r="AL485" s="707"/>
      <c r="AM485" s="707"/>
      <c r="AN485" s="707"/>
      <c r="AO485" s="707"/>
      <c r="AP485" s="707"/>
      <c r="AQ485" s="707"/>
      <c r="AR485" s="708"/>
    </row>
    <row r="486" spans="1:44" ht="4.5" customHeight="1" x14ac:dyDescent="0.3">
      <c r="A486" s="13"/>
      <c r="B486" s="60"/>
      <c r="C486" s="1"/>
      <c r="D486" s="1"/>
      <c r="E486" s="1"/>
      <c r="G486" s="38"/>
      <c r="H486" s="1"/>
      <c r="I486" s="1"/>
      <c r="J486" s="214"/>
      <c r="K486" s="214"/>
      <c r="L486" s="214"/>
      <c r="M486" s="214"/>
      <c r="N486" s="214"/>
      <c r="O486" s="214"/>
      <c r="P486" s="214"/>
      <c r="Q486" s="214"/>
      <c r="R486" s="214"/>
      <c r="S486" s="214"/>
      <c r="T486" s="214"/>
      <c r="U486" s="214"/>
      <c r="V486" s="214"/>
      <c r="W486" s="214"/>
      <c r="X486" s="214"/>
      <c r="Y486" s="214"/>
      <c r="Z486" s="214"/>
      <c r="AA486" s="214"/>
      <c r="AB486" s="214"/>
      <c r="AC486" s="214"/>
      <c r="AD486" s="214"/>
      <c r="AE486" s="214"/>
      <c r="AF486" s="214"/>
      <c r="AG486" s="214"/>
      <c r="AH486" s="214"/>
      <c r="AI486" s="214"/>
      <c r="AJ486" s="214"/>
      <c r="AK486" s="214"/>
      <c r="AL486" s="214"/>
      <c r="AM486" s="214"/>
      <c r="AN486" s="214"/>
      <c r="AO486" s="214"/>
      <c r="AP486" s="214"/>
      <c r="AQ486" s="214"/>
      <c r="AR486" s="214"/>
    </row>
    <row r="487" spans="1:44" x14ac:dyDescent="0.3">
      <c r="A487" s="13"/>
      <c r="B487" s="60"/>
      <c r="C487" s="1"/>
      <c r="D487" s="1"/>
      <c r="E487" s="55" t="str">
        <f>IF(J487&gt;"","REC",IF(calculations!M90,"REC",IF(calculations!N90,"REC","")))</f>
        <v/>
      </c>
      <c r="G487" s="38"/>
      <c r="H487" s="1"/>
      <c r="I487" s="1"/>
      <c r="J487" s="724" t="str">
        <f>IF(calculations!M90,Rec!E139,IF(calculations!N90,Rec!E140,""))</f>
        <v/>
      </c>
      <c r="K487" s="725"/>
      <c r="L487" s="725"/>
      <c r="M487" s="725"/>
      <c r="N487" s="725"/>
      <c r="O487" s="725"/>
      <c r="P487" s="725"/>
      <c r="Q487" s="725"/>
      <c r="R487" s="725"/>
      <c r="S487" s="725"/>
      <c r="T487" s="725"/>
      <c r="U487" s="725"/>
      <c r="V487" s="725"/>
      <c r="W487" s="725"/>
      <c r="X487" s="725"/>
      <c r="Y487" s="725"/>
      <c r="Z487" s="725"/>
      <c r="AA487" s="725"/>
      <c r="AB487" s="725"/>
      <c r="AC487" s="725"/>
      <c r="AD487" s="725"/>
      <c r="AE487" s="725"/>
      <c r="AF487" s="725"/>
      <c r="AG487" s="725"/>
      <c r="AH487" s="725"/>
      <c r="AI487" s="725"/>
      <c r="AJ487" s="725"/>
      <c r="AK487" s="725"/>
      <c r="AL487" s="725"/>
      <c r="AM487" s="725"/>
      <c r="AN487" s="725"/>
      <c r="AO487" s="725"/>
      <c r="AP487" s="725"/>
      <c r="AQ487" s="725"/>
      <c r="AR487" s="726"/>
    </row>
    <row r="488" spans="1:44" x14ac:dyDescent="0.3">
      <c r="A488" s="13"/>
      <c r="B488" s="60"/>
      <c r="C488" s="1"/>
      <c r="D488" s="1"/>
      <c r="E488" s="11"/>
      <c r="F488" s="37"/>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1:44" ht="14.15" x14ac:dyDescent="0.35">
      <c r="A489" s="232" t="s">
        <v>873</v>
      </c>
      <c r="B489" s="60"/>
      <c r="C489" s="1"/>
      <c r="D489" s="30" t="s">
        <v>225</v>
      </c>
      <c r="E489" s="1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1:44" ht="4.5" customHeight="1" x14ac:dyDescent="0.3">
      <c r="A490" s="13"/>
      <c r="B490" s="60"/>
      <c r="C490" s="1"/>
      <c r="D490" s="1"/>
      <c r="E490" s="1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1:44" x14ac:dyDescent="0.3">
      <c r="A491" s="13" t="s">
        <v>226</v>
      </c>
      <c r="B491" s="60"/>
      <c r="C491" s="31"/>
      <c r="D491" s="31"/>
      <c r="E491" s="32"/>
      <c r="F491" s="33"/>
      <c r="G491" s="31"/>
      <c r="H491" s="31"/>
      <c r="I491" s="31"/>
      <c r="J491" s="215"/>
      <c r="K491" s="214"/>
      <c r="L491" s="902" t="s">
        <v>1306</v>
      </c>
      <c r="M491" s="902"/>
      <c r="N491" s="902"/>
      <c r="O491" s="902"/>
      <c r="P491" s="902"/>
      <c r="Q491" s="902"/>
      <c r="R491" s="902"/>
      <c r="S491" s="902"/>
      <c r="T491" s="902"/>
      <c r="U491" s="902"/>
      <c r="V491" s="902"/>
      <c r="W491" s="902"/>
      <c r="X491" s="902"/>
      <c r="Y491" s="902"/>
      <c r="Z491" s="902"/>
      <c r="AA491" s="902"/>
      <c r="AB491" s="902"/>
      <c r="AC491" s="902"/>
      <c r="AD491" s="902"/>
      <c r="AE491" s="902"/>
      <c r="AF491" s="902"/>
      <c r="AG491" s="902"/>
      <c r="AH491" s="902"/>
      <c r="AI491" s="902"/>
      <c r="AJ491" s="902"/>
      <c r="AK491" s="902"/>
      <c r="AL491" s="902"/>
      <c r="AM491" s="902"/>
      <c r="AN491" s="902"/>
      <c r="AO491" s="902"/>
      <c r="AP491" s="902"/>
      <c r="AQ491" s="902"/>
      <c r="AR491" s="902"/>
    </row>
    <row r="492" spans="1:44" ht="4.5" customHeight="1" x14ac:dyDescent="0.3">
      <c r="A492" s="13"/>
      <c r="B492" s="60"/>
      <c r="C492" s="31"/>
      <c r="D492" s="31"/>
      <c r="E492" s="34"/>
      <c r="F492" s="31"/>
      <c r="G492" s="31"/>
      <c r="H492" s="31"/>
      <c r="I492" s="31"/>
      <c r="J492" s="215"/>
      <c r="K492" s="214"/>
      <c r="L492" s="214"/>
      <c r="M492" s="214"/>
      <c r="N492" s="214"/>
      <c r="O492" s="214"/>
      <c r="P492" s="214"/>
      <c r="Q492" s="214"/>
      <c r="R492" s="214"/>
      <c r="S492" s="214"/>
      <c r="T492" s="214"/>
      <c r="U492" s="214"/>
      <c r="V492" s="214"/>
      <c r="W492" s="214"/>
      <c r="X492" s="214"/>
      <c r="Y492" s="214"/>
      <c r="Z492" s="214"/>
      <c r="AA492" s="214"/>
      <c r="AB492" s="214"/>
      <c r="AC492" s="214"/>
      <c r="AD492" s="214"/>
      <c r="AE492" s="214"/>
      <c r="AF492" s="214"/>
      <c r="AG492" s="214"/>
      <c r="AH492" s="214"/>
      <c r="AI492" s="214"/>
      <c r="AJ492" s="214"/>
      <c r="AK492" s="214"/>
      <c r="AL492" s="214"/>
      <c r="AM492" s="214"/>
      <c r="AN492" s="214"/>
      <c r="AO492" s="214"/>
      <c r="AP492" s="214"/>
      <c r="AQ492" s="214"/>
      <c r="AR492" s="214"/>
    </row>
    <row r="493" spans="1:44" ht="24.75" customHeight="1" x14ac:dyDescent="0.3">
      <c r="A493" s="13" t="s">
        <v>227</v>
      </c>
      <c r="B493" s="60"/>
      <c r="C493" s="31"/>
      <c r="D493" s="31"/>
      <c r="E493" s="32"/>
      <c r="F493" s="33"/>
      <c r="G493" s="31"/>
      <c r="H493" s="31"/>
      <c r="I493" s="31"/>
      <c r="J493" s="215"/>
      <c r="K493" s="214"/>
      <c r="L493" s="902" t="s">
        <v>1307</v>
      </c>
      <c r="M493" s="902"/>
      <c r="N493" s="902"/>
      <c r="O493" s="902"/>
      <c r="P493" s="902"/>
      <c r="Q493" s="902"/>
      <c r="R493" s="902"/>
      <c r="S493" s="902"/>
      <c r="T493" s="902"/>
      <c r="U493" s="902"/>
      <c r="V493" s="902"/>
      <c r="W493" s="902"/>
      <c r="X493" s="902"/>
      <c r="Y493" s="902"/>
      <c r="Z493" s="902"/>
      <c r="AA493" s="902"/>
      <c r="AB493" s="902"/>
      <c r="AC493" s="902"/>
      <c r="AD493" s="902"/>
      <c r="AE493" s="902"/>
      <c r="AF493" s="902"/>
      <c r="AG493" s="902"/>
      <c r="AH493" s="902"/>
      <c r="AI493" s="902"/>
      <c r="AJ493" s="902"/>
      <c r="AK493" s="902"/>
      <c r="AL493" s="902"/>
      <c r="AM493" s="902"/>
      <c r="AN493" s="902"/>
      <c r="AO493" s="902"/>
      <c r="AP493" s="902"/>
      <c r="AQ493" s="902"/>
      <c r="AR493" s="902"/>
    </row>
    <row r="494" spans="1:44" ht="4.5" customHeight="1" x14ac:dyDescent="0.3">
      <c r="A494" s="13"/>
      <c r="B494" s="60"/>
      <c r="C494" s="31"/>
      <c r="D494" s="31"/>
      <c r="E494" s="32"/>
      <c r="F494" s="33"/>
      <c r="G494" s="31"/>
      <c r="H494" s="31"/>
      <c r="I494" s="31"/>
      <c r="J494" s="215"/>
      <c r="K494" s="214"/>
      <c r="L494" s="214"/>
      <c r="M494" s="214"/>
      <c r="N494" s="214"/>
      <c r="O494" s="214"/>
      <c r="P494" s="214"/>
      <c r="Q494" s="214"/>
      <c r="R494" s="214"/>
      <c r="S494" s="214"/>
      <c r="T494" s="214"/>
      <c r="U494" s="214"/>
      <c r="V494" s="214"/>
      <c r="W494" s="214"/>
      <c r="X494" s="214"/>
      <c r="Y494" s="214"/>
      <c r="Z494" s="214"/>
      <c r="AA494" s="214"/>
      <c r="AB494" s="214"/>
      <c r="AC494" s="214"/>
      <c r="AD494" s="214"/>
      <c r="AE494" s="214"/>
      <c r="AF494" s="214"/>
      <c r="AG494" s="214"/>
      <c r="AH494" s="214"/>
      <c r="AI494" s="214"/>
      <c r="AJ494" s="214"/>
      <c r="AK494" s="214"/>
      <c r="AL494" s="214"/>
      <c r="AM494" s="214"/>
      <c r="AN494" s="214"/>
      <c r="AO494" s="214"/>
      <c r="AP494" s="214"/>
      <c r="AQ494" s="214"/>
      <c r="AR494" s="214"/>
    </row>
    <row r="495" spans="1:44" ht="26.25" customHeight="1" x14ac:dyDescent="0.3">
      <c r="A495" s="13" t="s">
        <v>228</v>
      </c>
      <c r="B495" s="60"/>
      <c r="C495" s="31"/>
      <c r="D495" s="31"/>
      <c r="E495" s="34"/>
      <c r="F495" s="31"/>
      <c r="G495" s="31"/>
      <c r="H495" s="31"/>
      <c r="I495" s="31"/>
      <c r="J495" s="215"/>
      <c r="K495" s="214"/>
      <c r="L495" s="902" t="s">
        <v>1448</v>
      </c>
      <c r="M495" s="902"/>
      <c r="N495" s="902"/>
      <c r="O495" s="902"/>
      <c r="P495" s="902"/>
      <c r="Q495" s="902"/>
      <c r="R495" s="902"/>
      <c r="S495" s="902"/>
      <c r="T495" s="902"/>
      <c r="U495" s="902"/>
      <c r="V495" s="902"/>
      <c r="W495" s="902"/>
      <c r="X495" s="902"/>
      <c r="Y495" s="902"/>
      <c r="Z495" s="902"/>
      <c r="AA495" s="902"/>
      <c r="AB495" s="902"/>
      <c r="AC495" s="902"/>
      <c r="AD495" s="902"/>
      <c r="AE495" s="902"/>
      <c r="AF495" s="902"/>
      <c r="AG495" s="902"/>
      <c r="AH495" s="902"/>
      <c r="AI495" s="902"/>
      <c r="AJ495" s="902"/>
      <c r="AK495" s="902"/>
      <c r="AL495" s="902"/>
      <c r="AM495" s="902"/>
      <c r="AN495" s="902"/>
      <c r="AO495" s="902"/>
      <c r="AP495" s="902"/>
      <c r="AQ495" s="902"/>
      <c r="AR495" s="902"/>
    </row>
    <row r="496" spans="1:44" ht="4.5" customHeight="1" x14ac:dyDescent="0.3">
      <c r="A496" s="13"/>
      <c r="B496" s="60"/>
      <c r="C496" s="31"/>
      <c r="D496" s="31"/>
      <c r="E496" s="34"/>
      <c r="F496" s="31"/>
      <c r="G496" s="31"/>
      <c r="H496" s="31"/>
      <c r="I496" s="31"/>
      <c r="J496" s="215"/>
      <c r="K496" s="214"/>
      <c r="L496" s="214"/>
      <c r="M496" s="214"/>
      <c r="N496" s="214"/>
      <c r="O496" s="214"/>
      <c r="P496" s="214"/>
      <c r="Q496" s="214"/>
      <c r="R496" s="214"/>
      <c r="S496" s="214"/>
      <c r="T496" s="214"/>
      <c r="U496" s="214"/>
      <c r="V496" s="214"/>
      <c r="W496" s="214"/>
      <c r="X496" s="214"/>
      <c r="Y496" s="214"/>
      <c r="Z496" s="214"/>
      <c r="AA496" s="214"/>
      <c r="AB496" s="214"/>
      <c r="AC496" s="214"/>
      <c r="AD496" s="214"/>
      <c r="AE496" s="214"/>
      <c r="AF496" s="214"/>
      <c r="AG496" s="214"/>
      <c r="AH496" s="214"/>
      <c r="AI496" s="214"/>
      <c r="AJ496" s="214"/>
      <c r="AK496" s="214"/>
      <c r="AL496" s="214"/>
      <c r="AM496" s="214"/>
      <c r="AN496" s="214"/>
      <c r="AO496" s="214"/>
      <c r="AP496" s="214"/>
      <c r="AQ496" s="214"/>
      <c r="AR496" s="214"/>
    </row>
    <row r="497" spans="1:44" x14ac:dyDescent="0.3">
      <c r="A497" s="13" t="s">
        <v>229</v>
      </c>
      <c r="B497" s="60"/>
      <c r="C497" s="31"/>
      <c r="D497" s="31"/>
      <c r="E497" s="32"/>
      <c r="F497" s="33"/>
      <c r="G497" s="31"/>
      <c r="H497" s="31"/>
      <c r="I497" s="31"/>
      <c r="J497" s="215"/>
      <c r="K497" s="214"/>
      <c r="L497" s="902" t="s">
        <v>1308</v>
      </c>
      <c r="M497" s="902"/>
      <c r="N497" s="902"/>
      <c r="O497" s="902"/>
      <c r="P497" s="902"/>
      <c r="Q497" s="902"/>
      <c r="R497" s="902"/>
      <c r="S497" s="902"/>
      <c r="T497" s="902"/>
      <c r="U497" s="902"/>
      <c r="V497" s="902"/>
      <c r="W497" s="902"/>
      <c r="X497" s="902"/>
      <c r="Y497" s="902"/>
      <c r="Z497" s="902"/>
      <c r="AA497" s="902"/>
      <c r="AB497" s="902"/>
      <c r="AC497" s="902"/>
      <c r="AD497" s="902"/>
      <c r="AE497" s="902"/>
      <c r="AF497" s="902"/>
      <c r="AG497" s="902"/>
      <c r="AH497" s="902"/>
      <c r="AI497" s="902"/>
      <c r="AJ497" s="902"/>
      <c r="AK497" s="902"/>
      <c r="AL497" s="902"/>
      <c r="AM497" s="902"/>
      <c r="AN497" s="902"/>
      <c r="AO497" s="902"/>
      <c r="AP497" s="902"/>
      <c r="AQ497" s="902"/>
      <c r="AR497" s="902"/>
    </row>
    <row r="498" spans="1:44" ht="4.5" customHeight="1" x14ac:dyDescent="0.3">
      <c r="A498" s="13"/>
      <c r="B498" s="60"/>
      <c r="C498" s="1"/>
      <c r="D498" s="1"/>
      <c r="E498" s="35"/>
      <c r="F498" s="1"/>
      <c r="G498" s="1"/>
      <c r="H498" s="1"/>
      <c r="I498" s="1"/>
      <c r="J498" s="214"/>
      <c r="K498" s="214"/>
      <c r="L498" s="214"/>
      <c r="M498" s="214"/>
      <c r="N498" s="214"/>
      <c r="O498" s="214"/>
      <c r="P498" s="214"/>
      <c r="Q498" s="214"/>
      <c r="R498" s="214"/>
      <c r="S498" s="214"/>
      <c r="T498" s="214"/>
      <c r="U498" s="214"/>
      <c r="V498" s="214"/>
      <c r="W498" s="214"/>
      <c r="X498" s="214"/>
      <c r="Y498" s="214"/>
      <c r="Z498" s="214"/>
      <c r="AA498" s="214"/>
      <c r="AB498" s="214"/>
      <c r="AC498" s="214"/>
      <c r="AD498" s="214"/>
      <c r="AE498" s="214"/>
      <c r="AF498" s="214"/>
      <c r="AG498" s="214"/>
      <c r="AH498" s="214"/>
      <c r="AI498" s="214"/>
      <c r="AJ498" s="214"/>
      <c r="AK498" s="214"/>
      <c r="AL498" s="214"/>
      <c r="AM498" s="214"/>
      <c r="AN498" s="214"/>
      <c r="AO498" s="214"/>
      <c r="AP498" s="214"/>
      <c r="AQ498" s="214"/>
      <c r="AR498" s="214"/>
    </row>
    <row r="499" spans="1:44" x14ac:dyDescent="0.3">
      <c r="A499" s="13" t="s">
        <v>230</v>
      </c>
      <c r="B499" s="60"/>
      <c r="C499" s="1"/>
      <c r="D499" s="1"/>
      <c r="E499" s="11"/>
      <c r="F499" s="3"/>
      <c r="G499" s="1"/>
      <c r="H499" s="1"/>
      <c r="I499" s="1"/>
      <c r="J499" s="214"/>
      <c r="K499" s="214"/>
      <c r="L499" s="902" t="s">
        <v>1309</v>
      </c>
      <c r="M499" s="902"/>
      <c r="N499" s="902"/>
      <c r="O499" s="902"/>
      <c r="P499" s="902"/>
      <c r="Q499" s="902"/>
      <c r="R499" s="902"/>
      <c r="S499" s="902"/>
      <c r="T499" s="902"/>
      <c r="U499" s="902"/>
      <c r="V499" s="902"/>
      <c r="W499" s="902"/>
      <c r="X499" s="902"/>
      <c r="Y499" s="902"/>
      <c r="Z499" s="902"/>
      <c r="AA499" s="902"/>
      <c r="AB499" s="902"/>
      <c r="AC499" s="902"/>
      <c r="AD499" s="902"/>
      <c r="AE499" s="902"/>
      <c r="AF499" s="902"/>
      <c r="AG499" s="902"/>
      <c r="AH499" s="902"/>
      <c r="AI499" s="902"/>
      <c r="AJ499" s="902"/>
      <c r="AK499" s="902"/>
      <c r="AL499" s="902"/>
      <c r="AM499" s="902"/>
      <c r="AN499" s="902"/>
      <c r="AO499" s="902"/>
      <c r="AP499" s="902"/>
      <c r="AQ499" s="902"/>
      <c r="AR499" s="902"/>
    </row>
    <row r="500" spans="1:44" ht="4.5" customHeight="1" x14ac:dyDescent="0.3">
      <c r="A500" s="4"/>
      <c r="B500" s="60"/>
      <c r="C500" s="1"/>
      <c r="D500" s="1"/>
      <c r="E500" s="11"/>
      <c r="F500" s="1"/>
      <c r="G500" s="1"/>
      <c r="H500" s="1"/>
      <c r="I500" s="1"/>
      <c r="J500" s="214"/>
      <c r="K500" s="214"/>
      <c r="L500" s="214"/>
      <c r="M500" s="214"/>
      <c r="N500" s="214"/>
      <c r="O500" s="214"/>
      <c r="P500" s="214"/>
      <c r="Q500" s="214"/>
      <c r="R500" s="214"/>
      <c r="S500" s="214"/>
      <c r="T500" s="214"/>
      <c r="U500" s="214"/>
      <c r="V500" s="214"/>
      <c r="W500" s="214"/>
      <c r="X500" s="214"/>
      <c r="Y500" s="214"/>
      <c r="Z500" s="214"/>
      <c r="AA500" s="214"/>
      <c r="AB500" s="214"/>
      <c r="AC500" s="214"/>
      <c r="AD500" s="214"/>
      <c r="AE500" s="214"/>
      <c r="AF500" s="214"/>
      <c r="AG500" s="214"/>
      <c r="AH500" s="214"/>
      <c r="AI500" s="214"/>
      <c r="AJ500" s="214"/>
      <c r="AK500" s="214"/>
      <c r="AL500" s="214"/>
      <c r="AM500" s="214"/>
      <c r="AN500" s="214"/>
      <c r="AO500" s="214"/>
      <c r="AP500" s="214"/>
      <c r="AQ500" s="214"/>
      <c r="AR500" s="214"/>
    </row>
    <row r="501" spans="1:44" x14ac:dyDescent="0.3">
      <c r="A501" s="4"/>
      <c r="B501" s="60"/>
      <c r="C501" s="1"/>
      <c r="D501" s="1"/>
      <c r="E501" s="13" t="s">
        <v>700</v>
      </c>
      <c r="G501" s="1"/>
      <c r="H501" s="1"/>
      <c r="I501" s="1"/>
      <c r="J501" s="706" t="str">
        <f>IF(calculations!M91,"describe corrective action proposed to correct any Red Flag or Yellow Flag ranking",IF(calculations!N91,"describe corrective action proposed to correct any Red Flag or Yellow Flag ranking",""))</f>
        <v/>
      </c>
      <c r="K501" s="707"/>
      <c r="L501" s="707"/>
      <c r="M501" s="707"/>
      <c r="N501" s="707"/>
      <c r="O501" s="707"/>
      <c r="P501" s="707"/>
      <c r="Q501" s="707"/>
      <c r="R501" s="707"/>
      <c r="S501" s="707"/>
      <c r="T501" s="707"/>
      <c r="U501" s="707"/>
      <c r="V501" s="707"/>
      <c r="W501" s="707"/>
      <c r="X501" s="707"/>
      <c r="Y501" s="707"/>
      <c r="Z501" s="707"/>
      <c r="AA501" s="707"/>
      <c r="AB501" s="707"/>
      <c r="AC501" s="707"/>
      <c r="AD501" s="707"/>
      <c r="AE501" s="707"/>
      <c r="AF501" s="707"/>
      <c r="AG501" s="707"/>
      <c r="AH501" s="707"/>
      <c r="AI501" s="707"/>
      <c r="AJ501" s="707"/>
      <c r="AK501" s="707"/>
      <c r="AL501" s="707"/>
      <c r="AM501" s="707"/>
      <c r="AN501" s="707"/>
      <c r="AO501" s="707"/>
      <c r="AP501" s="707"/>
      <c r="AQ501" s="707"/>
      <c r="AR501" s="708"/>
    </row>
    <row r="502" spans="1:44" ht="4.5" customHeight="1" x14ac:dyDescent="0.3">
      <c r="A502" s="4"/>
      <c r="B502" s="60"/>
      <c r="C502" s="1"/>
      <c r="D502" s="1"/>
      <c r="E502" s="1"/>
      <c r="G502" s="38"/>
      <c r="H502" s="1"/>
      <c r="I502" s="1"/>
      <c r="J502" s="214"/>
      <c r="K502" s="214"/>
      <c r="L502" s="214"/>
      <c r="M502" s="214"/>
      <c r="N502" s="214"/>
      <c r="O502" s="214"/>
      <c r="P502" s="214"/>
      <c r="Q502" s="214"/>
      <c r="R502" s="214"/>
      <c r="S502" s="214"/>
      <c r="T502" s="214"/>
      <c r="U502" s="214"/>
      <c r="V502" s="214"/>
      <c r="W502" s="214"/>
      <c r="X502" s="214"/>
      <c r="Y502" s="214"/>
      <c r="Z502" s="214"/>
      <c r="AA502" s="214"/>
      <c r="AB502" s="214"/>
      <c r="AC502" s="214"/>
      <c r="AD502" s="214"/>
      <c r="AE502" s="214"/>
      <c r="AF502" s="214"/>
      <c r="AG502" s="214"/>
      <c r="AH502" s="214"/>
      <c r="AI502" s="214"/>
      <c r="AJ502" s="214"/>
      <c r="AK502" s="214"/>
      <c r="AL502" s="214"/>
      <c r="AM502" s="214"/>
      <c r="AN502" s="214"/>
      <c r="AO502" s="214"/>
      <c r="AP502" s="214"/>
      <c r="AQ502" s="214"/>
      <c r="AR502" s="214"/>
    </row>
    <row r="503" spans="1:44" ht="26.25" customHeight="1" x14ac:dyDescent="0.3">
      <c r="A503" s="4"/>
      <c r="B503" s="60"/>
      <c r="C503" s="1"/>
      <c r="D503" s="1"/>
      <c r="E503" s="55" t="str">
        <f>IF(J503&gt;"","REC",IF(calculations!M91,"REC",IF(calculations!N91,"REC","")))</f>
        <v/>
      </c>
      <c r="G503" s="38"/>
      <c r="H503" s="1"/>
      <c r="I503" s="1"/>
      <c r="J503" s="724" t="str">
        <f>IF(calculations!M91,Rec!E141,IF(calculations!N91,Rec!E142,""))</f>
        <v/>
      </c>
      <c r="K503" s="725"/>
      <c r="L503" s="725"/>
      <c r="M503" s="725"/>
      <c r="N503" s="725"/>
      <c r="O503" s="725"/>
      <c r="P503" s="725"/>
      <c r="Q503" s="725"/>
      <c r="R503" s="725"/>
      <c r="S503" s="725"/>
      <c r="T503" s="725"/>
      <c r="U503" s="725"/>
      <c r="V503" s="725"/>
      <c r="W503" s="725"/>
      <c r="X503" s="725"/>
      <c r="Y503" s="725"/>
      <c r="Z503" s="725"/>
      <c r="AA503" s="725"/>
      <c r="AB503" s="725"/>
      <c r="AC503" s="725"/>
      <c r="AD503" s="725"/>
      <c r="AE503" s="725"/>
      <c r="AF503" s="725"/>
      <c r="AG503" s="725"/>
      <c r="AH503" s="725"/>
      <c r="AI503" s="725"/>
      <c r="AJ503" s="725"/>
      <c r="AK503" s="725"/>
      <c r="AL503" s="725"/>
      <c r="AM503" s="725"/>
      <c r="AN503" s="725"/>
      <c r="AO503" s="725"/>
      <c r="AP503" s="725"/>
      <c r="AQ503" s="725"/>
      <c r="AR503" s="726"/>
    </row>
    <row r="504" spans="1:44" s="1" customFormat="1" x14ac:dyDescent="0.3">
      <c r="A504" s="4"/>
      <c r="B504" s="104"/>
      <c r="F504" s="55"/>
      <c r="G504" s="38"/>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row>
    <row r="505" spans="1:44" x14ac:dyDescent="0.3">
      <c r="A505" s="4"/>
      <c r="B505" s="60"/>
    </row>
    <row r="506" spans="1:44" x14ac:dyDescent="0.3">
      <c r="A506" s="4"/>
      <c r="B506" s="60"/>
    </row>
    <row r="507" spans="1:44" x14ac:dyDescent="0.3">
      <c r="A507" s="4"/>
      <c r="B507" s="60"/>
    </row>
    <row r="508" spans="1:44" x14ac:dyDescent="0.3">
      <c r="A508" s="4"/>
      <c r="B508" s="60"/>
    </row>
    <row r="509" spans="1:44" x14ac:dyDescent="0.3">
      <c r="A509" s="4"/>
      <c r="B509" s="60"/>
    </row>
    <row r="510" spans="1:44" x14ac:dyDescent="0.3">
      <c r="A510" s="4"/>
      <c r="B510" s="60"/>
    </row>
    <row r="511" spans="1:44" x14ac:dyDescent="0.3">
      <c r="A511" s="4"/>
      <c r="B511" s="60"/>
    </row>
    <row r="512" spans="1:44" x14ac:dyDescent="0.3">
      <c r="A512" s="4"/>
      <c r="B512" s="60"/>
    </row>
    <row r="513" spans="1:2" x14ac:dyDescent="0.3">
      <c r="A513" s="4"/>
      <c r="B513" s="60"/>
    </row>
    <row r="514" spans="1:2" x14ac:dyDescent="0.3">
      <c r="A514" s="4"/>
      <c r="B514" s="60"/>
    </row>
    <row r="515" spans="1:2" x14ac:dyDescent="0.3">
      <c r="A515" s="4"/>
      <c r="B515" s="60"/>
    </row>
    <row r="516" spans="1:2" x14ac:dyDescent="0.3">
      <c r="A516" s="4"/>
      <c r="B516" s="60"/>
    </row>
    <row r="517" spans="1:2" x14ac:dyDescent="0.3">
      <c r="A517" s="4"/>
      <c r="B517" s="60"/>
    </row>
    <row r="518" spans="1:2" x14ac:dyDescent="0.3">
      <c r="A518" s="4"/>
      <c r="B518" s="60"/>
    </row>
    <row r="519" spans="1:2" x14ac:dyDescent="0.3">
      <c r="A519" s="4"/>
      <c r="B519" s="60"/>
    </row>
    <row r="520" spans="1:2" x14ac:dyDescent="0.3">
      <c r="A520" s="4"/>
      <c r="B520" s="60"/>
    </row>
    <row r="521" spans="1:2" x14ac:dyDescent="0.3">
      <c r="A521" s="4"/>
      <c r="B521" s="60"/>
    </row>
    <row r="522" spans="1:2" x14ac:dyDescent="0.3">
      <c r="A522" s="4"/>
      <c r="B522" s="60"/>
    </row>
    <row r="523" spans="1:2" x14ac:dyDescent="0.3">
      <c r="A523" s="4"/>
      <c r="B523" s="60"/>
    </row>
    <row r="524" spans="1:2" x14ac:dyDescent="0.3">
      <c r="A524" s="4"/>
      <c r="B524" s="60"/>
    </row>
    <row r="525" spans="1:2" x14ac:dyDescent="0.3">
      <c r="A525" s="4"/>
      <c r="B525" s="60"/>
    </row>
    <row r="526" spans="1:2" x14ac:dyDescent="0.3">
      <c r="A526" s="4"/>
      <c r="B526" s="60"/>
    </row>
    <row r="527" spans="1:2" x14ac:dyDescent="0.3">
      <c r="A527" s="4"/>
      <c r="B527" s="60"/>
    </row>
    <row r="528" spans="1:2" x14ac:dyDescent="0.3">
      <c r="A528" s="4"/>
      <c r="B528" s="60"/>
    </row>
    <row r="529" spans="1:2" x14ac:dyDescent="0.3">
      <c r="A529" s="4"/>
      <c r="B529" s="60"/>
    </row>
    <row r="530" spans="1:2" x14ac:dyDescent="0.3">
      <c r="A530" s="4"/>
      <c r="B530" s="60"/>
    </row>
    <row r="531" spans="1:2" x14ac:dyDescent="0.3">
      <c r="A531" s="4"/>
      <c r="B531" s="60"/>
    </row>
    <row r="532" spans="1:2" x14ac:dyDescent="0.3">
      <c r="A532" s="4"/>
      <c r="B532" s="60"/>
    </row>
    <row r="533" spans="1:2" x14ac:dyDescent="0.3">
      <c r="A533" s="4"/>
      <c r="B533" s="60"/>
    </row>
    <row r="534" spans="1:2" x14ac:dyDescent="0.3">
      <c r="A534" s="4"/>
      <c r="B534" s="60"/>
    </row>
    <row r="535" spans="1:2" x14ac:dyDescent="0.3">
      <c r="A535" s="4"/>
      <c r="B535" s="60"/>
    </row>
    <row r="536" spans="1:2" x14ac:dyDescent="0.3">
      <c r="A536" s="4"/>
      <c r="B536" s="60"/>
    </row>
    <row r="537" spans="1:2" x14ac:dyDescent="0.3">
      <c r="A537" s="4"/>
      <c r="B537" s="60"/>
    </row>
    <row r="538" spans="1:2" x14ac:dyDescent="0.3">
      <c r="A538" s="4"/>
      <c r="B538" s="60"/>
    </row>
    <row r="539" spans="1:2" x14ac:dyDescent="0.3">
      <c r="A539" s="4"/>
      <c r="B539" s="60"/>
    </row>
    <row r="540" spans="1:2" x14ac:dyDescent="0.3">
      <c r="A540" s="4"/>
      <c r="B540" s="60"/>
    </row>
    <row r="541" spans="1:2" x14ac:dyDescent="0.3">
      <c r="A541" s="4"/>
      <c r="B541" s="60"/>
    </row>
    <row r="542" spans="1:2" x14ac:dyDescent="0.3">
      <c r="A542" s="4"/>
      <c r="B542" s="60"/>
    </row>
    <row r="543" spans="1:2" x14ac:dyDescent="0.3">
      <c r="A543" s="4"/>
      <c r="B543" s="60"/>
    </row>
    <row r="544" spans="1:2" x14ac:dyDescent="0.3">
      <c r="A544" s="4"/>
      <c r="B544" s="60"/>
    </row>
    <row r="545" spans="1:2" x14ac:dyDescent="0.3">
      <c r="A545" s="4"/>
      <c r="B545" s="60"/>
    </row>
    <row r="546" spans="1:2" x14ac:dyDescent="0.3">
      <c r="A546" s="4"/>
      <c r="B546" s="60"/>
    </row>
    <row r="547" spans="1:2" x14ac:dyDescent="0.3">
      <c r="A547" s="4"/>
      <c r="B547" s="60"/>
    </row>
    <row r="548" spans="1:2" x14ac:dyDescent="0.3">
      <c r="A548" s="4"/>
      <c r="B548" s="60"/>
    </row>
    <row r="549" spans="1:2" x14ac:dyDescent="0.3">
      <c r="A549" s="4"/>
      <c r="B549" s="60"/>
    </row>
    <row r="550" spans="1:2" x14ac:dyDescent="0.3">
      <c r="A550" s="4"/>
      <c r="B550" s="60"/>
    </row>
    <row r="551" spans="1:2" x14ac:dyDescent="0.3">
      <c r="A551" s="4"/>
      <c r="B551" s="60"/>
    </row>
    <row r="552" spans="1:2" x14ac:dyDescent="0.3">
      <c r="A552" s="4"/>
      <c r="B552" s="60"/>
    </row>
    <row r="553" spans="1:2" x14ac:dyDescent="0.3">
      <c r="A553" s="4"/>
      <c r="B553" s="60"/>
    </row>
    <row r="554" spans="1:2" x14ac:dyDescent="0.3">
      <c r="A554" s="4"/>
      <c r="B554" s="60"/>
    </row>
    <row r="555" spans="1:2" x14ac:dyDescent="0.3">
      <c r="A555" s="4"/>
      <c r="B555" s="60"/>
    </row>
    <row r="556" spans="1:2" x14ac:dyDescent="0.3">
      <c r="A556" s="4"/>
      <c r="B556" s="60"/>
    </row>
    <row r="557" spans="1:2" x14ac:dyDescent="0.3">
      <c r="A557" s="4"/>
      <c r="B557" s="60"/>
    </row>
    <row r="558" spans="1:2" x14ac:dyDescent="0.3">
      <c r="A558" s="4"/>
      <c r="B558" s="60"/>
    </row>
    <row r="559" spans="1:2" x14ac:dyDescent="0.3">
      <c r="A559" s="4"/>
      <c r="B559" s="60"/>
    </row>
    <row r="560" spans="1:2" x14ac:dyDescent="0.3">
      <c r="A560" s="4"/>
      <c r="B560" s="60"/>
    </row>
    <row r="561" spans="1:2" x14ac:dyDescent="0.3">
      <c r="A561" s="4"/>
      <c r="B561" s="60"/>
    </row>
    <row r="562" spans="1:2" x14ac:dyDescent="0.3">
      <c r="A562" s="4"/>
      <c r="B562" s="60"/>
    </row>
    <row r="563" spans="1:2" x14ac:dyDescent="0.3">
      <c r="A563" s="4"/>
      <c r="B563" s="60"/>
    </row>
    <row r="564" spans="1:2" x14ac:dyDescent="0.3">
      <c r="A564" s="4"/>
      <c r="B564" s="60"/>
    </row>
    <row r="565" spans="1:2" x14ac:dyDescent="0.3">
      <c r="A565" s="4"/>
      <c r="B565" s="60"/>
    </row>
    <row r="566" spans="1:2" x14ac:dyDescent="0.3">
      <c r="A566" s="4"/>
      <c r="B566" s="60"/>
    </row>
    <row r="567" spans="1:2" x14ac:dyDescent="0.3">
      <c r="A567" s="4"/>
      <c r="B567" s="60"/>
    </row>
    <row r="568" spans="1:2" x14ac:dyDescent="0.3">
      <c r="A568" s="4"/>
      <c r="B568" s="60"/>
    </row>
    <row r="569" spans="1:2" x14ac:dyDescent="0.3">
      <c r="A569" s="4"/>
      <c r="B569" s="60"/>
    </row>
    <row r="570" spans="1:2" x14ac:dyDescent="0.3">
      <c r="A570" s="4"/>
      <c r="B570" s="60"/>
    </row>
    <row r="571" spans="1:2" x14ac:dyDescent="0.3">
      <c r="A571" s="4"/>
      <c r="B571" s="60"/>
    </row>
    <row r="572" spans="1:2" x14ac:dyDescent="0.3">
      <c r="A572" s="4"/>
      <c r="B572" s="60"/>
    </row>
    <row r="573" spans="1:2" x14ac:dyDescent="0.3">
      <c r="A573" s="4"/>
      <c r="B573" s="60"/>
    </row>
    <row r="574" spans="1:2" x14ac:dyDescent="0.3">
      <c r="A574" s="4"/>
      <c r="B574" s="60"/>
    </row>
    <row r="575" spans="1:2" x14ac:dyDescent="0.3">
      <c r="A575" s="4"/>
      <c r="B575" s="60"/>
    </row>
    <row r="576" spans="1:2" x14ac:dyDescent="0.3">
      <c r="A576" s="4"/>
      <c r="B576" s="60"/>
    </row>
    <row r="577" spans="1:2" x14ac:dyDescent="0.3">
      <c r="A577" s="4"/>
      <c r="B577" s="60"/>
    </row>
    <row r="1111" spans="6:7" x14ac:dyDescent="0.3">
      <c r="F1111" s="87"/>
      <c r="G1111" s="87"/>
    </row>
    <row r="1112" spans="6:7" x14ac:dyDescent="0.3">
      <c r="F1112" s="87"/>
      <c r="G1112" s="87"/>
    </row>
    <row r="1113" spans="6:7" x14ac:dyDescent="0.3">
      <c r="F1113" s="87"/>
      <c r="G1113" s="87"/>
    </row>
    <row r="1114" spans="6:7" x14ac:dyDescent="0.3">
      <c r="F1114" s="87"/>
      <c r="G1114" s="87"/>
    </row>
    <row r="1115" spans="6:7" x14ac:dyDescent="0.3">
      <c r="F1115" s="87"/>
      <c r="G1115" s="87"/>
    </row>
    <row r="1116" spans="6:7" x14ac:dyDescent="0.3">
      <c r="F1116" s="87"/>
      <c r="G1116" s="87"/>
    </row>
    <row r="1117" spans="6:7" x14ac:dyDescent="0.3">
      <c r="F1117" s="87"/>
      <c r="G1117" s="87"/>
    </row>
    <row r="1118" spans="6:7" x14ac:dyDescent="0.3">
      <c r="F1118" s="87"/>
      <c r="G1118" s="87"/>
    </row>
    <row r="1119" spans="6:7" x14ac:dyDescent="0.3">
      <c r="F1119" s="87"/>
      <c r="G1119" s="87"/>
    </row>
    <row r="1120" spans="6:7" x14ac:dyDescent="0.3">
      <c r="F1120" s="87"/>
      <c r="G1120" s="87"/>
    </row>
    <row r="1121" spans="6:7" x14ac:dyDescent="0.3">
      <c r="F1121" s="87"/>
      <c r="G1121" s="87"/>
    </row>
    <row r="1122" spans="6:7" x14ac:dyDescent="0.3">
      <c r="F1122" s="87"/>
      <c r="G1122" s="87"/>
    </row>
    <row r="1123" spans="6:7" x14ac:dyDescent="0.3">
      <c r="F1123" s="87"/>
      <c r="G1123" s="87"/>
    </row>
    <row r="1124" spans="6:7" x14ac:dyDescent="0.3">
      <c r="F1124" s="87"/>
      <c r="G1124" s="87"/>
    </row>
    <row r="1125" spans="6:7" x14ac:dyDescent="0.3">
      <c r="F1125" s="87"/>
      <c r="G1125" s="87"/>
    </row>
    <row r="1126" spans="6:7" x14ac:dyDescent="0.3">
      <c r="F1126" s="87"/>
      <c r="G1126" s="87"/>
    </row>
    <row r="1127" spans="6:7" x14ac:dyDescent="0.3">
      <c r="F1127" s="87"/>
      <c r="G1127" s="87"/>
    </row>
    <row r="1128" spans="6:7" x14ac:dyDescent="0.3">
      <c r="F1128" s="87"/>
      <c r="G1128" s="87"/>
    </row>
    <row r="1129" spans="6:7" x14ac:dyDescent="0.3">
      <c r="F1129" s="87"/>
      <c r="G1129" s="87"/>
    </row>
    <row r="1130" spans="6:7" x14ac:dyDescent="0.3">
      <c r="F1130" s="87"/>
      <c r="G1130" s="87"/>
    </row>
    <row r="1131" spans="6:7" x14ac:dyDescent="0.3">
      <c r="F1131" s="87"/>
      <c r="G1131" s="87"/>
    </row>
    <row r="1132" spans="6:7" x14ac:dyDescent="0.3">
      <c r="F1132" s="87"/>
      <c r="G1132" s="87"/>
    </row>
    <row r="1133" spans="6:7" x14ac:dyDescent="0.3">
      <c r="F1133" s="87"/>
      <c r="G1133" s="87"/>
    </row>
    <row r="1134" spans="6:7" x14ac:dyDescent="0.3">
      <c r="F1134" s="87"/>
      <c r="G1134" s="87"/>
    </row>
    <row r="1135" spans="6:7" x14ac:dyDescent="0.3">
      <c r="F1135" s="87"/>
      <c r="G1135" s="87"/>
    </row>
    <row r="1136" spans="6:7" x14ac:dyDescent="0.3">
      <c r="F1136" s="87"/>
      <c r="G1136" s="87"/>
    </row>
    <row r="1137" spans="6:7" x14ac:dyDescent="0.3">
      <c r="F1137" s="87"/>
      <c r="G1137" s="87"/>
    </row>
    <row r="1138" spans="6:7" x14ac:dyDescent="0.3">
      <c r="F1138" s="87"/>
      <c r="G1138" s="87"/>
    </row>
    <row r="1139" spans="6:7" x14ac:dyDescent="0.3">
      <c r="F1139" s="87"/>
      <c r="G1139" s="87"/>
    </row>
    <row r="1140" spans="6:7" x14ac:dyDescent="0.3">
      <c r="F1140" s="87"/>
      <c r="G1140" s="87"/>
    </row>
    <row r="1141" spans="6:7" x14ac:dyDescent="0.3">
      <c r="F1141" s="87"/>
      <c r="G1141" s="87"/>
    </row>
    <row r="1142" spans="6:7" x14ac:dyDescent="0.3">
      <c r="F1142" s="87"/>
      <c r="G1142" s="87"/>
    </row>
    <row r="1143" spans="6:7" x14ac:dyDescent="0.3">
      <c r="F1143" s="87"/>
      <c r="G1143" s="87"/>
    </row>
    <row r="1144" spans="6:7" x14ac:dyDescent="0.3">
      <c r="F1144" s="87"/>
      <c r="G1144" s="87"/>
    </row>
    <row r="1145" spans="6:7" x14ac:dyDescent="0.3">
      <c r="F1145" s="87"/>
      <c r="G1145" s="87"/>
    </row>
    <row r="1146" spans="6:7" x14ac:dyDescent="0.3">
      <c r="F1146" s="87"/>
      <c r="G1146" s="87"/>
    </row>
    <row r="1147" spans="6:7" x14ac:dyDescent="0.3">
      <c r="F1147" s="87"/>
      <c r="G1147" s="87"/>
    </row>
    <row r="1148" spans="6:7" x14ac:dyDescent="0.3">
      <c r="F1148" s="87"/>
      <c r="G1148" s="87"/>
    </row>
    <row r="1149" spans="6:7" x14ac:dyDescent="0.3">
      <c r="F1149" s="87"/>
      <c r="G1149" s="87"/>
    </row>
    <row r="1150" spans="6:7" x14ac:dyDescent="0.3">
      <c r="F1150" s="87"/>
      <c r="G1150" s="87"/>
    </row>
    <row r="1151" spans="6:7" x14ac:dyDescent="0.3">
      <c r="F1151" s="87"/>
      <c r="G1151" s="87"/>
    </row>
    <row r="1152" spans="6:7" x14ac:dyDescent="0.3">
      <c r="F1152" s="87"/>
      <c r="G1152" s="87"/>
    </row>
    <row r="1153" spans="6:7" x14ac:dyDescent="0.3">
      <c r="F1153" s="87"/>
      <c r="G1153" s="87"/>
    </row>
    <row r="1154" spans="6:7" x14ac:dyDescent="0.3">
      <c r="F1154" s="87"/>
      <c r="G1154" s="87"/>
    </row>
    <row r="1155" spans="6:7" x14ac:dyDescent="0.3">
      <c r="F1155" s="87"/>
      <c r="G1155" s="87"/>
    </row>
    <row r="1156" spans="6:7" x14ac:dyDescent="0.3">
      <c r="F1156" s="87"/>
      <c r="G1156" s="87"/>
    </row>
    <row r="1157" spans="6:7" x14ac:dyDescent="0.3">
      <c r="F1157" s="87"/>
      <c r="G1157" s="87"/>
    </row>
    <row r="1158" spans="6:7" x14ac:dyDescent="0.3">
      <c r="F1158" s="87"/>
      <c r="G1158" s="87"/>
    </row>
    <row r="1159" spans="6:7" x14ac:dyDescent="0.3">
      <c r="F1159" s="87"/>
      <c r="G1159" s="87"/>
    </row>
    <row r="1160" spans="6:7" x14ac:dyDescent="0.3">
      <c r="F1160" s="87"/>
      <c r="G1160" s="87"/>
    </row>
    <row r="1161" spans="6:7" x14ac:dyDescent="0.3">
      <c r="F1161" s="87"/>
      <c r="G1161" s="87"/>
    </row>
    <row r="1162" spans="6:7" x14ac:dyDescent="0.3">
      <c r="F1162" s="87"/>
      <c r="G1162" s="87"/>
    </row>
    <row r="1163" spans="6:7" x14ac:dyDescent="0.3">
      <c r="F1163" s="87"/>
      <c r="G1163" s="87"/>
    </row>
    <row r="1164" spans="6:7" x14ac:dyDescent="0.3">
      <c r="F1164" s="87"/>
      <c r="G1164" s="87"/>
    </row>
    <row r="1165" spans="6:7" x14ac:dyDescent="0.3">
      <c r="F1165" s="87"/>
      <c r="G1165" s="87"/>
    </row>
    <row r="1166" spans="6:7" x14ac:dyDescent="0.3">
      <c r="F1166" s="87"/>
      <c r="G1166" s="87"/>
    </row>
    <row r="1167" spans="6:7" x14ac:dyDescent="0.3">
      <c r="F1167" s="87"/>
      <c r="G1167" s="87"/>
    </row>
    <row r="1168" spans="6:7" x14ac:dyDescent="0.3">
      <c r="F1168" s="87"/>
      <c r="G1168" s="87"/>
    </row>
    <row r="1169" spans="6:7" x14ac:dyDescent="0.3">
      <c r="F1169" s="87"/>
      <c r="G1169" s="87"/>
    </row>
    <row r="1170" spans="6:7" x14ac:dyDescent="0.3">
      <c r="F1170" s="87"/>
      <c r="G1170" s="87"/>
    </row>
    <row r="1171" spans="6:7" x14ac:dyDescent="0.3">
      <c r="F1171" s="87"/>
      <c r="G1171" s="87"/>
    </row>
    <row r="1172" spans="6:7" x14ac:dyDescent="0.3">
      <c r="F1172" s="87"/>
      <c r="G1172" s="87"/>
    </row>
    <row r="1173" spans="6:7" x14ac:dyDescent="0.3">
      <c r="F1173" s="87"/>
      <c r="G1173" s="87"/>
    </row>
    <row r="1174" spans="6:7" x14ac:dyDescent="0.3">
      <c r="F1174" s="87"/>
      <c r="G1174" s="87"/>
    </row>
    <row r="1175" spans="6:7" x14ac:dyDescent="0.3">
      <c r="F1175" s="87"/>
      <c r="G1175" s="87"/>
    </row>
    <row r="1176" spans="6:7" x14ac:dyDescent="0.3">
      <c r="F1176" s="87"/>
      <c r="G1176" s="87"/>
    </row>
    <row r="1177" spans="6:7" x14ac:dyDescent="0.3">
      <c r="F1177" s="87"/>
      <c r="G1177" s="87"/>
    </row>
    <row r="1178" spans="6:7" x14ac:dyDescent="0.3">
      <c r="F1178" s="87"/>
      <c r="G1178" s="87"/>
    </row>
    <row r="1179" spans="6:7" x14ac:dyDescent="0.3">
      <c r="F1179" s="87"/>
      <c r="G1179" s="87"/>
    </row>
    <row r="1180" spans="6:7" x14ac:dyDescent="0.3">
      <c r="F1180" s="87"/>
      <c r="G1180" s="87"/>
    </row>
    <row r="1181" spans="6:7" x14ac:dyDescent="0.3">
      <c r="F1181" s="87"/>
      <c r="G1181" s="87"/>
    </row>
    <row r="1182" spans="6:7" x14ac:dyDescent="0.3">
      <c r="F1182" s="87"/>
      <c r="G1182" s="87"/>
    </row>
    <row r="1183" spans="6:7" x14ac:dyDescent="0.3">
      <c r="F1183" s="87"/>
      <c r="G1183" s="87"/>
    </row>
    <row r="1184" spans="6:7" x14ac:dyDescent="0.3">
      <c r="F1184" s="87"/>
      <c r="G1184" s="87"/>
    </row>
    <row r="1185" spans="6:7" x14ac:dyDescent="0.3">
      <c r="F1185" s="87"/>
      <c r="G1185" s="87"/>
    </row>
    <row r="1186" spans="6:7" x14ac:dyDescent="0.3">
      <c r="F1186" s="87"/>
      <c r="G1186" s="87"/>
    </row>
    <row r="1187" spans="6:7" x14ac:dyDescent="0.3">
      <c r="F1187" s="87"/>
      <c r="G1187" s="87"/>
    </row>
    <row r="1188" spans="6:7" x14ac:dyDescent="0.3">
      <c r="F1188" s="87"/>
      <c r="G1188" s="87"/>
    </row>
    <row r="1189" spans="6:7" x14ac:dyDescent="0.3">
      <c r="F1189" s="87"/>
      <c r="G1189" s="87"/>
    </row>
    <row r="1190" spans="6:7" x14ac:dyDescent="0.3">
      <c r="F1190" s="87"/>
      <c r="G1190" s="87"/>
    </row>
    <row r="1191" spans="6:7" x14ac:dyDescent="0.3">
      <c r="F1191" s="87"/>
      <c r="G1191" s="87"/>
    </row>
    <row r="1192" spans="6:7" x14ac:dyDescent="0.3">
      <c r="F1192" s="87"/>
      <c r="G1192" s="87"/>
    </row>
    <row r="1193" spans="6:7" x14ac:dyDescent="0.3">
      <c r="F1193" s="87"/>
      <c r="G1193" s="87"/>
    </row>
    <row r="1194" spans="6:7" x14ac:dyDescent="0.3">
      <c r="F1194" s="87"/>
      <c r="G1194" s="87"/>
    </row>
    <row r="1195" spans="6:7" x14ac:dyDescent="0.3">
      <c r="F1195" s="87"/>
      <c r="G1195" s="87"/>
    </row>
    <row r="1196" spans="6:7" x14ac:dyDescent="0.3">
      <c r="F1196" s="87"/>
      <c r="G1196" s="87"/>
    </row>
    <row r="1197" spans="6:7" x14ac:dyDescent="0.3">
      <c r="F1197" s="87"/>
      <c r="G1197" s="87"/>
    </row>
    <row r="1198" spans="6:7" x14ac:dyDescent="0.3">
      <c r="F1198" s="87"/>
      <c r="G1198" s="87"/>
    </row>
    <row r="1199" spans="6:7" x14ac:dyDescent="0.3">
      <c r="F1199" s="87"/>
      <c r="G1199" s="87"/>
    </row>
    <row r="1200" spans="6:7" x14ac:dyDescent="0.3">
      <c r="F1200" s="87"/>
      <c r="G1200" s="87"/>
    </row>
    <row r="1201" spans="6:7" x14ac:dyDescent="0.3">
      <c r="F1201" s="87"/>
      <c r="G1201" s="87"/>
    </row>
    <row r="1202" spans="6:7" x14ac:dyDescent="0.3">
      <c r="F1202" s="87"/>
      <c r="G1202" s="87"/>
    </row>
    <row r="1203" spans="6:7" x14ac:dyDescent="0.3">
      <c r="F1203" s="87"/>
      <c r="G1203" s="87"/>
    </row>
    <row r="1204" spans="6:7" x14ac:dyDescent="0.3">
      <c r="F1204" s="87"/>
      <c r="G1204" s="87"/>
    </row>
    <row r="1205" spans="6:7" x14ac:dyDescent="0.3">
      <c r="F1205" s="87"/>
      <c r="G1205" s="87"/>
    </row>
    <row r="1206" spans="6:7" x14ac:dyDescent="0.3">
      <c r="F1206" s="87"/>
      <c r="G1206" s="87"/>
    </row>
    <row r="1207" spans="6:7" x14ac:dyDescent="0.3">
      <c r="F1207" s="87"/>
      <c r="G1207" s="87"/>
    </row>
    <row r="1208" spans="6:7" x14ac:dyDescent="0.3">
      <c r="F1208" s="87"/>
      <c r="G1208" s="87"/>
    </row>
    <row r="1209" spans="6:7" x14ac:dyDescent="0.3">
      <c r="F1209" s="87"/>
      <c r="G1209" s="87"/>
    </row>
    <row r="1210" spans="6:7" x14ac:dyDescent="0.3">
      <c r="F1210" s="87"/>
      <c r="G1210" s="87"/>
    </row>
    <row r="1211" spans="6:7" x14ac:dyDescent="0.3">
      <c r="F1211" s="87"/>
      <c r="G1211" s="87"/>
    </row>
    <row r="1212" spans="6:7" x14ac:dyDescent="0.3">
      <c r="F1212" s="87"/>
      <c r="G1212" s="87"/>
    </row>
    <row r="1213" spans="6:7" x14ac:dyDescent="0.3">
      <c r="F1213" s="87"/>
      <c r="G1213" s="87"/>
    </row>
    <row r="1214" spans="6:7" x14ac:dyDescent="0.3">
      <c r="F1214" s="87"/>
      <c r="G1214" s="87"/>
    </row>
    <row r="1215" spans="6:7" x14ac:dyDescent="0.3">
      <c r="F1215" s="87"/>
      <c r="G1215" s="87"/>
    </row>
    <row r="1216" spans="6:7" x14ac:dyDescent="0.3">
      <c r="F1216" s="87"/>
      <c r="G1216" s="87"/>
    </row>
    <row r="1217" spans="6:7" x14ac:dyDescent="0.3">
      <c r="F1217" s="87"/>
      <c r="G1217" s="87"/>
    </row>
    <row r="1218" spans="6:7" x14ac:dyDescent="0.3">
      <c r="F1218" s="87"/>
      <c r="G1218" s="87"/>
    </row>
    <row r="1219" spans="6:7" x14ac:dyDescent="0.3">
      <c r="F1219" s="87"/>
      <c r="G1219" s="87"/>
    </row>
    <row r="1220" spans="6:7" x14ac:dyDescent="0.3">
      <c r="F1220" s="87"/>
      <c r="G1220" s="87"/>
    </row>
    <row r="1221" spans="6:7" x14ac:dyDescent="0.3">
      <c r="F1221" s="87"/>
      <c r="G1221" s="87"/>
    </row>
    <row r="1222" spans="6:7" x14ac:dyDescent="0.3">
      <c r="F1222" s="87"/>
      <c r="G1222" s="87"/>
    </row>
    <row r="1223" spans="6:7" x14ac:dyDescent="0.3">
      <c r="F1223" s="87"/>
      <c r="G1223" s="87"/>
    </row>
    <row r="1224" spans="6:7" x14ac:dyDescent="0.3">
      <c r="F1224" s="87"/>
      <c r="G1224" s="87"/>
    </row>
    <row r="1225" spans="6:7" x14ac:dyDescent="0.3">
      <c r="F1225" s="87"/>
      <c r="G1225" s="87"/>
    </row>
    <row r="1226" spans="6:7" x14ac:dyDescent="0.3">
      <c r="F1226" s="87"/>
      <c r="G1226" s="87"/>
    </row>
    <row r="1227" spans="6:7" x14ac:dyDescent="0.3">
      <c r="F1227" s="87"/>
      <c r="G1227" s="87"/>
    </row>
    <row r="1228" spans="6:7" x14ac:dyDescent="0.3">
      <c r="F1228" s="87"/>
      <c r="G1228" s="87"/>
    </row>
    <row r="1229" spans="6:7" x14ac:dyDescent="0.3">
      <c r="F1229" s="87"/>
      <c r="G1229" s="87"/>
    </row>
    <row r="1230" spans="6:7" x14ac:dyDescent="0.3">
      <c r="F1230" s="87"/>
      <c r="G1230" s="87"/>
    </row>
    <row r="1231" spans="6:7" x14ac:dyDescent="0.3">
      <c r="F1231" s="87"/>
      <c r="G1231" s="87"/>
    </row>
    <row r="1232" spans="6:7" x14ac:dyDescent="0.3">
      <c r="F1232" s="87"/>
      <c r="G1232" s="87"/>
    </row>
    <row r="1233" spans="6:7" x14ac:dyDescent="0.3">
      <c r="F1233" s="87"/>
      <c r="G1233" s="87"/>
    </row>
    <row r="1234" spans="6:7" x14ac:dyDescent="0.3">
      <c r="F1234" s="87"/>
      <c r="G1234" s="87"/>
    </row>
    <row r="1235" spans="6:7" x14ac:dyDescent="0.3">
      <c r="F1235" s="87"/>
      <c r="G1235" s="87"/>
    </row>
    <row r="1236" spans="6:7" x14ac:dyDescent="0.3">
      <c r="F1236" s="87"/>
      <c r="G1236" s="87"/>
    </row>
    <row r="1237" spans="6:7" x14ac:dyDescent="0.3">
      <c r="F1237" s="87"/>
      <c r="G1237" s="87"/>
    </row>
    <row r="1238" spans="6:7" x14ac:dyDescent="0.3">
      <c r="F1238" s="87"/>
      <c r="G1238" s="87"/>
    </row>
    <row r="1239" spans="6:7" x14ac:dyDescent="0.3">
      <c r="F1239" s="87"/>
      <c r="G1239" s="87"/>
    </row>
    <row r="1240" spans="6:7" x14ac:dyDescent="0.3">
      <c r="F1240" s="87"/>
      <c r="G1240" s="87"/>
    </row>
    <row r="1241" spans="6:7" x14ac:dyDescent="0.3">
      <c r="F1241" s="87"/>
      <c r="G1241" s="87"/>
    </row>
    <row r="1242" spans="6:7" x14ac:dyDescent="0.3">
      <c r="F1242" s="87"/>
      <c r="G1242" s="87"/>
    </row>
    <row r="1243" spans="6:7" x14ac:dyDescent="0.3">
      <c r="F1243" s="87"/>
      <c r="G1243" s="87"/>
    </row>
    <row r="1244" spans="6:7" x14ac:dyDescent="0.3">
      <c r="F1244" s="87"/>
      <c r="G1244" s="87"/>
    </row>
    <row r="1245" spans="6:7" x14ac:dyDescent="0.3">
      <c r="F1245" s="87"/>
      <c r="G1245" s="87"/>
    </row>
    <row r="1246" spans="6:7" x14ac:dyDescent="0.3">
      <c r="F1246" s="87"/>
      <c r="G1246" s="87"/>
    </row>
    <row r="1247" spans="6:7" x14ac:dyDescent="0.3">
      <c r="F1247" s="87"/>
      <c r="G1247" s="87"/>
    </row>
    <row r="1248" spans="6:7" x14ac:dyDescent="0.3">
      <c r="F1248" s="87"/>
      <c r="G1248" s="87"/>
    </row>
    <row r="1249" spans="6:7" x14ac:dyDescent="0.3">
      <c r="F1249" s="87"/>
      <c r="G1249" s="87"/>
    </row>
    <row r="1250" spans="6:7" x14ac:dyDescent="0.3">
      <c r="F1250" s="87"/>
      <c r="G1250" s="87"/>
    </row>
    <row r="1251" spans="6:7" x14ac:dyDescent="0.3">
      <c r="F1251" s="87"/>
      <c r="G1251" s="87"/>
    </row>
    <row r="1252" spans="6:7" x14ac:dyDescent="0.3">
      <c r="F1252" s="87"/>
      <c r="G1252" s="87"/>
    </row>
    <row r="1253" spans="6:7" x14ac:dyDescent="0.3">
      <c r="F1253" s="87"/>
      <c r="G1253" s="87"/>
    </row>
    <row r="1254" spans="6:7" x14ac:dyDescent="0.3">
      <c r="F1254" s="87"/>
      <c r="G1254" s="87"/>
    </row>
    <row r="1255" spans="6:7" x14ac:dyDescent="0.3">
      <c r="F1255" s="87"/>
      <c r="G1255" s="87"/>
    </row>
    <row r="1256" spans="6:7" x14ac:dyDescent="0.3">
      <c r="F1256" s="87"/>
      <c r="G1256" s="87"/>
    </row>
    <row r="1257" spans="6:7" x14ac:dyDescent="0.3">
      <c r="F1257" s="87"/>
      <c r="G1257" s="87"/>
    </row>
    <row r="1258" spans="6:7" x14ac:dyDescent="0.3">
      <c r="F1258" s="87"/>
      <c r="G1258" s="87"/>
    </row>
    <row r="1259" spans="6:7" x14ac:dyDescent="0.3">
      <c r="F1259" s="87"/>
      <c r="G1259" s="87"/>
    </row>
    <row r="1260" spans="6:7" x14ac:dyDescent="0.3">
      <c r="F1260" s="87"/>
      <c r="G1260" s="87"/>
    </row>
    <row r="1261" spans="6:7" x14ac:dyDescent="0.3">
      <c r="F1261" s="87"/>
      <c r="G1261" s="87"/>
    </row>
    <row r="1262" spans="6:7" x14ac:dyDescent="0.3">
      <c r="F1262" s="87"/>
      <c r="G1262" s="87"/>
    </row>
    <row r="1263" spans="6:7" x14ac:dyDescent="0.3">
      <c r="F1263" s="87"/>
      <c r="G1263" s="87"/>
    </row>
    <row r="1264" spans="6:7" x14ac:dyDescent="0.3">
      <c r="F1264" s="87"/>
      <c r="G1264" s="87"/>
    </row>
    <row r="1265" spans="6:7" x14ac:dyDescent="0.3">
      <c r="F1265" s="87"/>
      <c r="G1265" s="87"/>
    </row>
    <row r="1266" spans="6:7" x14ac:dyDescent="0.3">
      <c r="F1266" s="87"/>
      <c r="G1266" s="87"/>
    </row>
    <row r="1267" spans="6:7" x14ac:dyDescent="0.3">
      <c r="F1267" s="87"/>
      <c r="G1267" s="87"/>
    </row>
    <row r="1268" spans="6:7" x14ac:dyDescent="0.3">
      <c r="F1268" s="87"/>
      <c r="G1268" s="87"/>
    </row>
    <row r="1269" spans="6:7" x14ac:dyDescent="0.3">
      <c r="F1269" s="87"/>
      <c r="G1269" s="87"/>
    </row>
    <row r="1270" spans="6:7" x14ac:dyDescent="0.3">
      <c r="F1270" s="87"/>
      <c r="G1270" s="87"/>
    </row>
    <row r="1271" spans="6:7" x14ac:dyDescent="0.3">
      <c r="F1271" s="87"/>
      <c r="G1271" s="87"/>
    </row>
    <row r="1272" spans="6:7" x14ac:dyDescent="0.3">
      <c r="F1272" s="87"/>
      <c r="G1272" s="87"/>
    </row>
    <row r="1273" spans="6:7" x14ac:dyDescent="0.3">
      <c r="F1273" s="87"/>
      <c r="G1273" s="87"/>
    </row>
    <row r="1274" spans="6:7" x14ac:dyDescent="0.3">
      <c r="F1274" s="87"/>
      <c r="G1274" s="87"/>
    </row>
    <row r="1275" spans="6:7" x14ac:dyDescent="0.3">
      <c r="F1275" s="87"/>
      <c r="G1275" s="87"/>
    </row>
    <row r="1276" spans="6:7" x14ac:dyDescent="0.3">
      <c r="F1276" s="87"/>
      <c r="G1276" s="87"/>
    </row>
    <row r="1277" spans="6:7" x14ac:dyDescent="0.3">
      <c r="F1277" s="87"/>
      <c r="G1277" s="87"/>
    </row>
    <row r="1278" spans="6:7" x14ac:dyDescent="0.3">
      <c r="F1278" s="87"/>
      <c r="G1278" s="87"/>
    </row>
    <row r="1279" spans="6:7" x14ac:dyDescent="0.3">
      <c r="F1279" s="87"/>
      <c r="G1279" s="87"/>
    </row>
    <row r="1280" spans="6:7" x14ac:dyDescent="0.3">
      <c r="F1280" s="87"/>
      <c r="G1280" s="87"/>
    </row>
    <row r="1281" spans="6:7" x14ac:dyDescent="0.3">
      <c r="F1281" s="87"/>
      <c r="G1281" s="87"/>
    </row>
    <row r="1282" spans="6:7" x14ac:dyDescent="0.3">
      <c r="F1282" s="87"/>
      <c r="G1282" s="87"/>
    </row>
    <row r="1283" spans="6:7" x14ac:dyDescent="0.3">
      <c r="F1283" s="87"/>
      <c r="G1283" s="87"/>
    </row>
    <row r="1284" spans="6:7" x14ac:dyDescent="0.3">
      <c r="F1284" s="87"/>
      <c r="G1284" s="87"/>
    </row>
    <row r="1285" spans="6:7" x14ac:dyDescent="0.3">
      <c r="F1285" s="87"/>
      <c r="G1285" s="87"/>
    </row>
    <row r="1286" spans="6:7" x14ac:dyDescent="0.3">
      <c r="F1286" s="87"/>
      <c r="G1286" s="87"/>
    </row>
    <row r="1287" spans="6:7" x14ac:dyDescent="0.3">
      <c r="F1287" s="87"/>
      <c r="G1287" s="87"/>
    </row>
    <row r="1288" spans="6:7" x14ac:dyDescent="0.3">
      <c r="F1288" s="87"/>
      <c r="G1288" s="87"/>
    </row>
    <row r="1289" spans="6:7" x14ac:dyDescent="0.3">
      <c r="F1289" s="87"/>
      <c r="G1289" s="87"/>
    </row>
    <row r="1290" spans="6:7" x14ac:dyDescent="0.3">
      <c r="F1290" s="87"/>
      <c r="G1290" s="87"/>
    </row>
    <row r="1291" spans="6:7" x14ac:dyDescent="0.3">
      <c r="F1291" s="87"/>
      <c r="G1291" s="87"/>
    </row>
    <row r="1292" spans="6:7" x14ac:dyDescent="0.3">
      <c r="F1292" s="87"/>
      <c r="G1292" s="87"/>
    </row>
    <row r="1293" spans="6:7" x14ac:dyDescent="0.3">
      <c r="F1293" s="87"/>
      <c r="G1293" s="87"/>
    </row>
    <row r="1294" spans="6:7" x14ac:dyDescent="0.3">
      <c r="F1294" s="87"/>
      <c r="G1294" s="87"/>
    </row>
    <row r="1295" spans="6:7" x14ac:dyDescent="0.3">
      <c r="F1295" s="87"/>
      <c r="G1295" s="87"/>
    </row>
    <row r="1296" spans="6:7" x14ac:dyDescent="0.3">
      <c r="F1296" s="87"/>
      <c r="G1296" s="87"/>
    </row>
    <row r="1297" spans="6:7" x14ac:dyDescent="0.3">
      <c r="F1297" s="87"/>
      <c r="G1297" s="87"/>
    </row>
    <row r="1298" spans="6:7" x14ac:dyDescent="0.3">
      <c r="F1298" s="87"/>
      <c r="G1298" s="87"/>
    </row>
    <row r="1299" spans="6:7" x14ac:dyDescent="0.3">
      <c r="F1299" s="87"/>
      <c r="G1299" s="87"/>
    </row>
    <row r="1300" spans="6:7" x14ac:dyDescent="0.3">
      <c r="F1300" s="87"/>
      <c r="G1300" s="87"/>
    </row>
    <row r="1301" spans="6:7" x14ac:dyDescent="0.3">
      <c r="F1301" s="87"/>
      <c r="G1301" s="87"/>
    </row>
    <row r="1302" spans="6:7" x14ac:dyDescent="0.3">
      <c r="F1302" s="87"/>
      <c r="G1302" s="87"/>
    </row>
    <row r="1303" spans="6:7" x14ac:dyDescent="0.3">
      <c r="F1303" s="87"/>
      <c r="G1303" s="87"/>
    </row>
    <row r="1304" spans="6:7" x14ac:dyDescent="0.3">
      <c r="F1304" s="87"/>
      <c r="G1304" s="87"/>
    </row>
    <row r="1305" spans="6:7" x14ac:dyDescent="0.3">
      <c r="F1305" s="87"/>
      <c r="G1305" s="87"/>
    </row>
    <row r="1306" spans="6:7" x14ac:dyDescent="0.3">
      <c r="F1306" s="87"/>
      <c r="G1306" s="87"/>
    </row>
    <row r="1307" spans="6:7" x14ac:dyDescent="0.3">
      <c r="F1307" s="87"/>
      <c r="G1307" s="87"/>
    </row>
    <row r="1308" spans="6:7" x14ac:dyDescent="0.3">
      <c r="F1308" s="87"/>
      <c r="G1308" s="87"/>
    </row>
    <row r="1309" spans="6:7" x14ac:dyDescent="0.3">
      <c r="F1309" s="87"/>
      <c r="G1309" s="87"/>
    </row>
    <row r="1310" spans="6:7" x14ac:dyDescent="0.3">
      <c r="F1310" s="87"/>
      <c r="G1310" s="87"/>
    </row>
    <row r="1311" spans="6:7" x14ac:dyDescent="0.3">
      <c r="F1311" s="87"/>
      <c r="G1311" s="87"/>
    </row>
    <row r="1312" spans="6:7" x14ac:dyDescent="0.3">
      <c r="F1312" s="87"/>
      <c r="G1312" s="87"/>
    </row>
    <row r="1313" spans="6:7" x14ac:dyDescent="0.3">
      <c r="F1313" s="87"/>
      <c r="G1313" s="87"/>
    </row>
    <row r="1314" spans="6:7" x14ac:dyDescent="0.3">
      <c r="F1314" s="87"/>
      <c r="G1314" s="87"/>
    </row>
    <row r="1315" spans="6:7" x14ac:dyDescent="0.3">
      <c r="F1315" s="87"/>
      <c r="G1315" s="87"/>
    </row>
    <row r="1316" spans="6:7" x14ac:dyDescent="0.3">
      <c r="F1316" s="87"/>
      <c r="G1316" s="87"/>
    </row>
    <row r="1317" spans="6:7" x14ac:dyDescent="0.3">
      <c r="F1317" s="87"/>
      <c r="G1317" s="87"/>
    </row>
    <row r="1318" spans="6:7" x14ac:dyDescent="0.3">
      <c r="F1318" s="87"/>
      <c r="G1318" s="87"/>
    </row>
    <row r="1319" spans="6:7" x14ac:dyDescent="0.3">
      <c r="F1319" s="87"/>
      <c r="G1319" s="87"/>
    </row>
    <row r="1320" spans="6:7" x14ac:dyDescent="0.3">
      <c r="F1320" s="87"/>
      <c r="G1320" s="87"/>
    </row>
    <row r="1321" spans="6:7" x14ac:dyDescent="0.3">
      <c r="F1321" s="87"/>
      <c r="G1321" s="87"/>
    </row>
    <row r="1322" spans="6:7" x14ac:dyDescent="0.3">
      <c r="F1322" s="87"/>
      <c r="G1322" s="87"/>
    </row>
    <row r="1323" spans="6:7" x14ac:dyDescent="0.3">
      <c r="F1323" s="87"/>
      <c r="G1323" s="87"/>
    </row>
    <row r="1324" spans="6:7" x14ac:dyDescent="0.3">
      <c r="F1324" s="87"/>
      <c r="G1324" s="87"/>
    </row>
    <row r="1325" spans="6:7" x14ac:dyDescent="0.3">
      <c r="F1325" s="87"/>
      <c r="G1325" s="87"/>
    </row>
    <row r="1326" spans="6:7" x14ac:dyDescent="0.3">
      <c r="F1326" s="87"/>
      <c r="G1326" s="87"/>
    </row>
    <row r="1327" spans="6:7" x14ac:dyDescent="0.3">
      <c r="F1327" s="87"/>
      <c r="G1327" s="87"/>
    </row>
    <row r="1328" spans="6:7" x14ac:dyDescent="0.3">
      <c r="F1328" s="87"/>
      <c r="G1328" s="87"/>
    </row>
    <row r="1329" spans="6:7" x14ac:dyDescent="0.3">
      <c r="F1329" s="87"/>
      <c r="G1329" s="87"/>
    </row>
    <row r="1330" spans="6:7" x14ac:dyDescent="0.3">
      <c r="F1330" s="87"/>
      <c r="G1330" s="87"/>
    </row>
    <row r="1331" spans="6:7" x14ac:dyDescent="0.3">
      <c r="F1331" s="87"/>
      <c r="G1331" s="87"/>
    </row>
    <row r="1332" spans="6:7" x14ac:dyDescent="0.3">
      <c r="F1332" s="87"/>
      <c r="G1332" s="87"/>
    </row>
    <row r="1333" spans="6:7" x14ac:dyDescent="0.3">
      <c r="F1333" s="87"/>
      <c r="G1333" s="87"/>
    </row>
    <row r="1334" spans="6:7" x14ac:dyDescent="0.3">
      <c r="F1334" s="87"/>
      <c r="G1334" s="87"/>
    </row>
    <row r="1335" spans="6:7" x14ac:dyDescent="0.3">
      <c r="F1335" s="87"/>
      <c r="G1335" s="87"/>
    </row>
    <row r="1336" spans="6:7" x14ac:dyDescent="0.3">
      <c r="F1336" s="87"/>
      <c r="G1336" s="87"/>
    </row>
    <row r="1337" spans="6:7" x14ac:dyDescent="0.3">
      <c r="F1337" s="87"/>
      <c r="G1337" s="87"/>
    </row>
    <row r="1338" spans="6:7" x14ac:dyDescent="0.3">
      <c r="F1338" s="87"/>
      <c r="G1338" s="87"/>
    </row>
    <row r="1339" spans="6:7" x14ac:dyDescent="0.3">
      <c r="F1339" s="87"/>
      <c r="G1339" s="87"/>
    </row>
    <row r="1340" spans="6:7" x14ac:dyDescent="0.3">
      <c r="F1340" s="87"/>
      <c r="G1340" s="87"/>
    </row>
    <row r="1341" spans="6:7" x14ac:dyDescent="0.3">
      <c r="F1341" s="87"/>
      <c r="G1341" s="87"/>
    </row>
    <row r="1342" spans="6:7" x14ac:dyDescent="0.3">
      <c r="F1342" s="87"/>
      <c r="G1342" s="87"/>
    </row>
    <row r="1343" spans="6:7" x14ac:dyDescent="0.3">
      <c r="F1343" s="87"/>
      <c r="G1343" s="87"/>
    </row>
    <row r="1344" spans="6:7" x14ac:dyDescent="0.3">
      <c r="F1344" s="87"/>
      <c r="G1344" s="87"/>
    </row>
    <row r="1345" spans="6:7" x14ac:dyDescent="0.3">
      <c r="F1345" s="87"/>
      <c r="G1345" s="87"/>
    </row>
    <row r="1346" spans="6:7" x14ac:dyDescent="0.3">
      <c r="F1346" s="87"/>
      <c r="G1346" s="87"/>
    </row>
    <row r="1347" spans="6:7" x14ac:dyDescent="0.3">
      <c r="F1347" s="87"/>
      <c r="G1347" s="87"/>
    </row>
    <row r="1348" spans="6:7" x14ac:dyDescent="0.3">
      <c r="F1348" s="87"/>
      <c r="G1348" s="87"/>
    </row>
    <row r="1349" spans="6:7" x14ac:dyDescent="0.3">
      <c r="F1349" s="87"/>
      <c r="G1349" s="87"/>
    </row>
    <row r="1350" spans="6:7" x14ac:dyDescent="0.3">
      <c r="F1350" s="87"/>
      <c r="G1350" s="87"/>
    </row>
    <row r="1351" spans="6:7" x14ac:dyDescent="0.3">
      <c r="F1351" s="87"/>
      <c r="G1351" s="87"/>
    </row>
    <row r="1352" spans="6:7" x14ac:dyDescent="0.3">
      <c r="F1352" s="87"/>
      <c r="G1352" s="87"/>
    </row>
    <row r="1353" spans="6:7" x14ac:dyDescent="0.3">
      <c r="F1353" s="87"/>
      <c r="G1353" s="87"/>
    </row>
    <row r="1354" spans="6:7" x14ac:dyDescent="0.3">
      <c r="F1354" s="87"/>
      <c r="G1354" s="87"/>
    </row>
    <row r="1355" spans="6:7" x14ac:dyDescent="0.3">
      <c r="F1355" s="87"/>
      <c r="G1355" s="87"/>
    </row>
    <row r="1356" spans="6:7" x14ac:dyDescent="0.3">
      <c r="F1356" s="87"/>
      <c r="G1356" s="87"/>
    </row>
    <row r="1357" spans="6:7" x14ac:dyDescent="0.3">
      <c r="F1357" s="87"/>
      <c r="G1357" s="87"/>
    </row>
    <row r="1358" spans="6:7" x14ac:dyDescent="0.3">
      <c r="F1358" s="87"/>
      <c r="G1358" s="87"/>
    </row>
    <row r="1359" spans="6:7" x14ac:dyDescent="0.3">
      <c r="F1359" s="87"/>
      <c r="G1359" s="87"/>
    </row>
    <row r="1360" spans="6:7" x14ac:dyDescent="0.3">
      <c r="F1360" s="87"/>
      <c r="G1360" s="87"/>
    </row>
    <row r="1361" spans="6:7" x14ac:dyDescent="0.3">
      <c r="F1361" s="87"/>
      <c r="G1361" s="87"/>
    </row>
    <row r="1362" spans="6:7" x14ac:dyDescent="0.3">
      <c r="F1362" s="87"/>
      <c r="G1362" s="87"/>
    </row>
    <row r="1363" spans="6:7" x14ac:dyDescent="0.3">
      <c r="F1363" s="87"/>
      <c r="G1363" s="87"/>
    </row>
    <row r="1364" spans="6:7" x14ac:dyDescent="0.3">
      <c r="F1364" s="87"/>
      <c r="G1364" s="87"/>
    </row>
    <row r="1365" spans="6:7" x14ac:dyDescent="0.3">
      <c r="F1365" s="87"/>
      <c r="G1365" s="87"/>
    </row>
    <row r="1366" spans="6:7" x14ac:dyDescent="0.3">
      <c r="F1366" s="87"/>
      <c r="G1366" s="87"/>
    </row>
    <row r="1367" spans="6:7" x14ac:dyDescent="0.3">
      <c r="F1367" s="87"/>
      <c r="G1367" s="87"/>
    </row>
    <row r="1368" spans="6:7" x14ac:dyDescent="0.3">
      <c r="F1368" s="87"/>
      <c r="G1368" s="87"/>
    </row>
    <row r="1369" spans="6:7" x14ac:dyDescent="0.3">
      <c r="F1369" s="87"/>
      <c r="G1369" s="87"/>
    </row>
    <row r="1370" spans="6:7" x14ac:dyDescent="0.3">
      <c r="F1370" s="87"/>
      <c r="G1370" s="87"/>
    </row>
    <row r="1371" spans="6:7" x14ac:dyDescent="0.3">
      <c r="F1371" s="87"/>
      <c r="G1371" s="87"/>
    </row>
    <row r="1372" spans="6:7" x14ac:dyDescent="0.3">
      <c r="F1372" s="87"/>
      <c r="G1372" s="87"/>
    </row>
    <row r="1373" spans="6:7" x14ac:dyDescent="0.3">
      <c r="F1373" s="87"/>
      <c r="G1373" s="87"/>
    </row>
    <row r="1374" spans="6:7" x14ac:dyDescent="0.3">
      <c r="F1374" s="87"/>
      <c r="G1374" s="87"/>
    </row>
    <row r="1375" spans="6:7" x14ac:dyDescent="0.3">
      <c r="F1375" s="87"/>
      <c r="G1375" s="87"/>
    </row>
    <row r="1376" spans="6:7" x14ac:dyDescent="0.3">
      <c r="F1376" s="87"/>
      <c r="G1376" s="87"/>
    </row>
    <row r="1377" spans="6:7" x14ac:dyDescent="0.3">
      <c r="F1377" s="87"/>
      <c r="G1377" s="87"/>
    </row>
    <row r="1378" spans="6:7" x14ac:dyDescent="0.3">
      <c r="F1378" s="87"/>
      <c r="G1378" s="87"/>
    </row>
    <row r="1379" spans="6:7" x14ac:dyDescent="0.3">
      <c r="F1379" s="87"/>
      <c r="G1379" s="87"/>
    </row>
    <row r="1380" spans="6:7" x14ac:dyDescent="0.3">
      <c r="F1380" s="87"/>
      <c r="G1380" s="87"/>
    </row>
    <row r="1381" spans="6:7" x14ac:dyDescent="0.3">
      <c r="F1381" s="87"/>
      <c r="G1381" s="87"/>
    </row>
    <row r="1382" spans="6:7" x14ac:dyDescent="0.3">
      <c r="F1382" s="87"/>
      <c r="G1382" s="87"/>
    </row>
    <row r="1383" spans="6:7" x14ac:dyDescent="0.3">
      <c r="F1383" s="87"/>
      <c r="G1383" s="87"/>
    </row>
    <row r="1384" spans="6:7" x14ac:dyDescent="0.3">
      <c r="F1384" s="87"/>
      <c r="G1384" s="87"/>
    </row>
    <row r="1385" spans="6:7" x14ac:dyDescent="0.3">
      <c r="F1385" s="87"/>
      <c r="G1385" s="87"/>
    </row>
    <row r="1386" spans="6:7" x14ac:dyDescent="0.3">
      <c r="F1386" s="87"/>
      <c r="G1386" s="87"/>
    </row>
    <row r="1387" spans="6:7" x14ac:dyDescent="0.3">
      <c r="F1387" s="87"/>
      <c r="G1387" s="87"/>
    </row>
    <row r="1388" spans="6:7" x14ac:dyDescent="0.3">
      <c r="F1388" s="87"/>
      <c r="G1388" s="87"/>
    </row>
    <row r="1389" spans="6:7" x14ac:dyDescent="0.3">
      <c r="F1389" s="87"/>
      <c r="G1389" s="87"/>
    </row>
    <row r="1390" spans="6:7" x14ac:dyDescent="0.3">
      <c r="F1390" s="87"/>
      <c r="G1390" s="87"/>
    </row>
    <row r="1391" spans="6:7" x14ac:dyDescent="0.3">
      <c r="F1391" s="87"/>
      <c r="G1391" s="87"/>
    </row>
    <row r="1392" spans="6:7" x14ac:dyDescent="0.3">
      <c r="F1392" s="87"/>
      <c r="G1392" s="87"/>
    </row>
    <row r="1393" spans="6:7" x14ac:dyDescent="0.3">
      <c r="F1393" s="87"/>
      <c r="G1393" s="87"/>
    </row>
    <row r="1394" spans="6:7" x14ac:dyDescent="0.3">
      <c r="F1394" s="87"/>
      <c r="G1394" s="87"/>
    </row>
    <row r="1395" spans="6:7" x14ac:dyDescent="0.3">
      <c r="F1395" s="87"/>
      <c r="G1395" s="87"/>
    </row>
    <row r="1396" spans="6:7" x14ac:dyDescent="0.3">
      <c r="F1396" s="87"/>
      <c r="G1396" s="87"/>
    </row>
    <row r="1397" spans="6:7" x14ac:dyDescent="0.3">
      <c r="F1397" s="87"/>
      <c r="G1397" s="87"/>
    </row>
    <row r="1398" spans="6:7" x14ac:dyDescent="0.3">
      <c r="F1398" s="87"/>
      <c r="G1398" s="87"/>
    </row>
    <row r="1399" spans="6:7" x14ac:dyDescent="0.3">
      <c r="F1399" s="87"/>
      <c r="G1399" s="87"/>
    </row>
    <row r="1400" spans="6:7" x14ac:dyDescent="0.3">
      <c r="F1400" s="87"/>
      <c r="G1400" s="87"/>
    </row>
    <row r="1401" spans="6:7" x14ac:dyDescent="0.3">
      <c r="F1401" s="87"/>
      <c r="G1401" s="87"/>
    </row>
    <row r="1402" spans="6:7" x14ac:dyDescent="0.3">
      <c r="F1402" s="87"/>
      <c r="G1402" s="87"/>
    </row>
    <row r="1403" spans="6:7" x14ac:dyDescent="0.3">
      <c r="F1403" s="87"/>
      <c r="G1403" s="87"/>
    </row>
    <row r="1404" spans="6:7" x14ac:dyDescent="0.3">
      <c r="F1404" s="87"/>
      <c r="G1404" s="87"/>
    </row>
    <row r="1405" spans="6:7" x14ac:dyDescent="0.3">
      <c r="F1405" s="87"/>
      <c r="G1405" s="87"/>
    </row>
    <row r="1406" spans="6:7" x14ac:dyDescent="0.3">
      <c r="F1406" s="87"/>
      <c r="G1406" s="87"/>
    </row>
    <row r="1407" spans="6:7" x14ac:dyDescent="0.3">
      <c r="F1407" s="87"/>
      <c r="G1407" s="87"/>
    </row>
    <row r="1408" spans="6:7" x14ac:dyDescent="0.3">
      <c r="F1408" s="87"/>
      <c r="G1408" s="87"/>
    </row>
    <row r="1409" spans="6:7" x14ac:dyDescent="0.3">
      <c r="F1409" s="87"/>
      <c r="G1409" s="87"/>
    </row>
    <row r="1410" spans="6:7" x14ac:dyDescent="0.3">
      <c r="F1410" s="87"/>
      <c r="G1410" s="87"/>
    </row>
    <row r="1411" spans="6:7" x14ac:dyDescent="0.3">
      <c r="F1411" s="87"/>
      <c r="G1411" s="87"/>
    </row>
    <row r="1412" spans="6:7" x14ac:dyDescent="0.3">
      <c r="F1412" s="87"/>
      <c r="G1412" s="87"/>
    </row>
    <row r="1413" spans="6:7" x14ac:dyDescent="0.3">
      <c r="F1413" s="87"/>
      <c r="G1413" s="87"/>
    </row>
    <row r="1414" spans="6:7" x14ac:dyDescent="0.3">
      <c r="F1414" s="87"/>
      <c r="G1414" s="87"/>
    </row>
    <row r="1415" spans="6:7" x14ac:dyDescent="0.3">
      <c r="F1415" s="87"/>
      <c r="G1415" s="87"/>
    </row>
    <row r="1416" spans="6:7" x14ac:dyDescent="0.3">
      <c r="F1416" s="87"/>
      <c r="G1416" s="87"/>
    </row>
    <row r="1417" spans="6:7" x14ac:dyDescent="0.3">
      <c r="F1417" s="87"/>
      <c r="G1417" s="87"/>
    </row>
    <row r="1418" spans="6:7" x14ac:dyDescent="0.3">
      <c r="F1418" s="87"/>
      <c r="G1418" s="87"/>
    </row>
    <row r="1419" spans="6:7" x14ac:dyDescent="0.3">
      <c r="F1419" s="87"/>
      <c r="G1419" s="87"/>
    </row>
    <row r="1420" spans="6:7" x14ac:dyDescent="0.3">
      <c r="F1420" s="87"/>
      <c r="G1420" s="87"/>
    </row>
    <row r="1421" spans="6:7" x14ac:dyDescent="0.3">
      <c r="F1421" s="87"/>
      <c r="G1421" s="87"/>
    </row>
    <row r="1422" spans="6:7" x14ac:dyDescent="0.3">
      <c r="F1422" s="87"/>
      <c r="G1422" s="87"/>
    </row>
    <row r="1423" spans="6:7" x14ac:dyDescent="0.3">
      <c r="F1423" s="87"/>
      <c r="G1423" s="87"/>
    </row>
    <row r="1424" spans="6:7" x14ac:dyDescent="0.3">
      <c r="F1424" s="87"/>
      <c r="G1424" s="87"/>
    </row>
    <row r="1425" spans="6:7" x14ac:dyDescent="0.3">
      <c r="F1425" s="87"/>
      <c r="G1425" s="87"/>
    </row>
    <row r="1426" spans="6:7" x14ac:dyDescent="0.3">
      <c r="F1426" s="87"/>
      <c r="G1426" s="87"/>
    </row>
    <row r="1427" spans="6:7" x14ac:dyDescent="0.3">
      <c r="F1427" s="87"/>
      <c r="G1427" s="87"/>
    </row>
    <row r="1428" spans="6:7" x14ac:dyDescent="0.3">
      <c r="F1428" s="87"/>
      <c r="G1428" s="87"/>
    </row>
    <row r="1429" spans="6:7" x14ac:dyDescent="0.3">
      <c r="F1429" s="87"/>
      <c r="G1429" s="87"/>
    </row>
    <row r="1430" spans="6:7" x14ac:dyDescent="0.3">
      <c r="F1430" s="87"/>
      <c r="G1430" s="87"/>
    </row>
    <row r="1431" spans="6:7" x14ac:dyDescent="0.3">
      <c r="F1431" s="87"/>
      <c r="G1431" s="87"/>
    </row>
    <row r="1432" spans="6:7" x14ac:dyDescent="0.3">
      <c r="F1432" s="87"/>
      <c r="G1432" s="87"/>
    </row>
    <row r="1433" spans="6:7" x14ac:dyDescent="0.3">
      <c r="F1433" s="87"/>
      <c r="G1433" s="87"/>
    </row>
    <row r="1434" spans="6:7" x14ac:dyDescent="0.3">
      <c r="F1434" s="87"/>
      <c r="G1434" s="87"/>
    </row>
    <row r="1435" spans="6:7" x14ac:dyDescent="0.3">
      <c r="F1435" s="87"/>
      <c r="G1435" s="87"/>
    </row>
    <row r="1436" spans="6:7" x14ac:dyDescent="0.3">
      <c r="F1436" s="87"/>
      <c r="G1436" s="87"/>
    </row>
    <row r="1437" spans="6:7" x14ac:dyDescent="0.3">
      <c r="F1437" s="87"/>
      <c r="G1437" s="87"/>
    </row>
    <row r="1438" spans="6:7" x14ac:dyDescent="0.3">
      <c r="F1438" s="87"/>
      <c r="G1438" s="87"/>
    </row>
    <row r="1439" spans="6:7" x14ac:dyDescent="0.3">
      <c r="F1439" s="87"/>
      <c r="G1439" s="87"/>
    </row>
    <row r="1440" spans="6:7" x14ac:dyDescent="0.3">
      <c r="F1440" s="87"/>
      <c r="G1440" s="87"/>
    </row>
    <row r="1441" spans="6:7" x14ac:dyDescent="0.3">
      <c r="F1441" s="87"/>
      <c r="G1441" s="87"/>
    </row>
    <row r="1442" spans="6:7" x14ac:dyDescent="0.3">
      <c r="F1442" s="87"/>
      <c r="G1442" s="87"/>
    </row>
    <row r="1443" spans="6:7" x14ac:dyDescent="0.3">
      <c r="F1443" s="87"/>
      <c r="G1443" s="87"/>
    </row>
    <row r="1444" spans="6:7" x14ac:dyDescent="0.3">
      <c r="F1444" s="87"/>
      <c r="G1444" s="87"/>
    </row>
    <row r="1445" spans="6:7" x14ac:dyDescent="0.3">
      <c r="F1445" s="87"/>
      <c r="G1445" s="87"/>
    </row>
    <row r="1446" spans="6:7" x14ac:dyDescent="0.3">
      <c r="F1446" s="87"/>
      <c r="G1446" s="87"/>
    </row>
    <row r="1447" spans="6:7" x14ac:dyDescent="0.3">
      <c r="F1447" s="87"/>
      <c r="G1447" s="87"/>
    </row>
    <row r="1448" spans="6:7" x14ac:dyDescent="0.3">
      <c r="F1448" s="87"/>
      <c r="G1448" s="87"/>
    </row>
    <row r="1449" spans="6:7" x14ac:dyDescent="0.3">
      <c r="F1449" s="87"/>
      <c r="G1449" s="87"/>
    </row>
    <row r="1450" spans="6:7" x14ac:dyDescent="0.3">
      <c r="F1450" s="87"/>
      <c r="G1450" s="87"/>
    </row>
    <row r="1451" spans="6:7" x14ac:dyDescent="0.3">
      <c r="F1451" s="87"/>
      <c r="G1451" s="87"/>
    </row>
    <row r="1452" spans="6:7" x14ac:dyDescent="0.3">
      <c r="F1452" s="87"/>
      <c r="G1452" s="87"/>
    </row>
    <row r="1453" spans="6:7" x14ac:dyDescent="0.3">
      <c r="F1453" s="87"/>
      <c r="G1453" s="87"/>
    </row>
    <row r="1454" spans="6:7" x14ac:dyDescent="0.3">
      <c r="F1454" s="87"/>
      <c r="G1454" s="87"/>
    </row>
    <row r="1455" spans="6:7" x14ac:dyDescent="0.3">
      <c r="F1455" s="87"/>
      <c r="G1455" s="87"/>
    </row>
    <row r="1456" spans="6:7" x14ac:dyDescent="0.3">
      <c r="F1456" s="87"/>
      <c r="G1456" s="87"/>
    </row>
    <row r="1457" spans="6:7" x14ac:dyDescent="0.3">
      <c r="F1457" s="87"/>
      <c r="G1457" s="87"/>
    </row>
    <row r="1458" spans="6:7" x14ac:dyDescent="0.3">
      <c r="F1458" s="87"/>
      <c r="G1458" s="87"/>
    </row>
    <row r="1459" spans="6:7" x14ac:dyDescent="0.3">
      <c r="F1459" s="87"/>
      <c r="G1459" s="87"/>
    </row>
    <row r="1460" spans="6:7" x14ac:dyDescent="0.3">
      <c r="F1460" s="87"/>
      <c r="G1460" s="87"/>
    </row>
    <row r="1461" spans="6:7" x14ac:dyDescent="0.3">
      <c r="F1461" s="87"/>
      <c r="G1461" s="87"/>
    </row>
    <row r="1462" spans="6:7" x14ac:dyDescent="0.3">
      <c r="F1462" s="87"/>
      <c r="G1462" s="87"/>
    </row>
    <row r="1463" spans="6:7" x14ac:dyDescent="0.3">
      <c r="F1463" s="87"/>
      <c r="G1463" s="87"/>
    </row>
    <row r="1464" spans="6:7" x14ac:dyDescent="0.3">
      <c r="F1464" s="87"/>
      <c r="G1464" s="87"/>
    </row>
    <row r="1465" spans="6:7" x14ac:dyDescent="0.3">
      <c r="F1465" s="87"/>
      <c r="G1465" s="87"/>
    </row>
    <row r="1466" spans="6:7" x14ac:dyDescent="0.3">
      <c r="F1466" s="87"/>
      <c r="G1466" s="87"/>
    </row>
    <row r="1467" spans="6:7" x14ac:dyDescent="0.3">
      <c r="F1467" s="87"/>
      <c r="G1467" s="87"/>
    </row>
    <row r="1468" spans="6:7" x14ac:dyDescent="0.3">
      <c r="F1468" s="87"/>
      <c r="G1468" s="87"/>
    </row>
    <row r="1469" spans="6:7" x14ac:dyDescent="0.3">
      <c r="F1469" s="87"/>
      <c r="G1469" s="87"/>
    </row>
    <row r="1470" spans="6:7" x14ac:dyDescent="0.3">
      <c r="F1470" s="87"/>
      <c r="G1470" s="87"/>
    </row>
    <row r="1471" spans="6:7" x14ac:dyDescent="0.3">
      <c r="F1471" s="87"/>
      <c r="G1471" s="87"/>
    </row>
    <row r="1472" spans="6:7" x14ac:dyDescent="0.3">
      <c r="F1472" s="87"/>
      <c r="G1472" s="87"/>
    </row>
    <row r="1473" spans="6:7" x14ac:dyDescent="0.3">
      <c r="F1473" s="87"/>
      <c r="G1473" s="87"/>
    </row>
    <row r="1474" spans="6:7" x14ac:dyDescent="0.3">
      <c r="F1474" s="87"/>
      <c r="G1474" s="87"/>
    </row>
    <row r="1475" spans="6:7" x14ac:dyDescent="0.3">
      <c r="F1475" s="87"/>
      <c r="G1475" s="87"/>
    </row>
    <row r="1476" spans="6:7" x14ac:dyDescent="0.3">
      <c r="F1476" s="87"/>
      <c r="G1476" s="87"/>
    </row>
    <row r="1477" spans="6:7" x14ac:dyDescent="0.3">
      <c r="F1477" s="87"/>
      <c r="G1477" s="87"/>
    </row>
    <row r="1478" spans="6:7" x14ac:dyDescent="0.3">
      <c r="F1478" s="87"/>
      <c r="G1478" s="87"/>
    </row>
    <row r="1479" spans="6:7" x14ac:dyDescent="0.3">
      <c r="F1479" s="87"/>
      <c r="G1479" s="87"/>
    </row>
    <row r="1480" spans="6:7" x14ac:dyDescent="0.3">
      <c r="F1480" s="87"/>
      <c r="G1480" s="87"/>
    </row>
    <row r="1481" spans="6:7" x14ac:dyDescent="0.3">
      <c r="F1481" s="87"/>
      <c r="G1481" s="87"/>
    </row>
    <row r="1482" spans="6:7" x14ac:dyDescent="0.3">
      <c r="F1482" s="87"/>
      <c r="G1482" s="87"/>
    </row>
    <row r="1483" spans="6:7" x14ac:dyDescent="0.3">
      <c r="F1483" s="87"/>
      <c r="G1483" s="87"/>
    </row>
    <row r="1484" spans="6:7" x14ac:dyDescent="0.3">
      <c r="F1484" s="87"/>
      <c r="G1484" s="87"/>
    </row>
    <row r="1485" spans="6:7" x14ac:dyDescent="0.3">
      <c r="F1485" s="87"/>
      <c r="G1485" s="87"/>
    </row>
    <row r="1486" spans="6:7" x14ac:dyDescent="0.3">
      <c r="F1486" s="87"/>
      <c r="G1486" s="87"/>
    </row>
    <row r="1487" spans="6:7" x14ac:dyDescent="0.3">
      <c r="F1487" s="87"/>
      <c r="G1487" s="87"/>
    </row>
    <row r="1488" spans="6:7" x14ac:dyDescent="0.3">
      <c r="F1488" s="87"/>
      <c r="G1488" s="87"/>
    </row>
    <row r="1489" spans="6:7" x14ac:dyDescent="0.3">
      <c r="F1489" s="87"/>
      <c r="G1489" s="87"/>
    </row>
    <row r="1490" spans="6:7" x14ac:dyDescent="0.3">
      <c r="F1490" s="87"/>
      <c r="G1490" s="87"/>
    </row>
    <row r="1491" spans="6:7" x14ac:dyDescent="0.3">
      <c r="F1491" s="87"/>
      <c r="G1491" s="87"/>
    </row>
    <row r="1492" spans="6:7" x14ac:dyDescent="0.3">
      <c r="F1492" s="87"/>
      <c r="G1492" s="87"/>
    </row>
    <row r="1493" spans="6:7" x14ac:dyDescent="0.3">
      <c r="F1493" s="87"/>
      <c r="G1493" s="87"/>
    </row>
    <row r="1494" spans="6:7" x14ac:dyDescent="0.3">
      <c r="F1494" s="87"/>
      <c r="G1494" s="87"/>
    </row>
    <row r="1495" spans="6:7" x14ac:dyDescent="0.3">
      <c r="F1495" s="87"/>
      <c r="G1495" s="87"/>
    </row>
    <row r="1496" spans="6:7" x14ac:dyDescent="0.3">
      <c r="F1496" s="87"/>
      <c r="G1496" s="87"/>
    </row>
    <row r="1497" spans="6:7" x14ac:dyDescent="0.3">
      <c r="F1497" s="87"/>
      <c r="G1497" s="87"/>
    </row>
    <row r="1498" spans="6:7" x14ac:dyDescent="0.3">
      <c r="F1498" s="87"/>
      <c r="G1498" s="87"/>
    </row>
    <row r="1499" spans="6:7" x14ac:dyDescent="0.3">
      <c r="F1499" s="87"/>
      <c r="G1499" s="87"/>
    </row>
    <row r="1500" spans="6:7" x14ac:dyDescent="0.3">
      <c r="F1500" s="87"/>
      <c r="G1500" s="87"/>
    </row>
    <row r="1501" spans="6:7" x14ac:dyDescent="0.3">
      <c r="F1501" s="87"/>
      <c r="G1501" s="87"/>
    </row>
    <row r="1502" spans="6:7" x14ac:dyDescent="0.3">
      <c r="F1502" s="87"/>
      <c r="G1502" s="87"/>
    </row>
    <row r="1503" spans="6:7" x14ac:dyDescent="0.3">
      <c r="F1503" s="87"/>
      <c r="G1503" s="87"/>
    </row>
    <row r="1504" spans="6:7" x14ac:dyDescent="0.3">
      <c r="F1504" s="87"/>
      <c r="G1504" s="87"/>
    </row>
    <row r="1505" spans="6:7" x14ac:dyDescent="0.3">
      <c r="F1505" s="87"/>
      <c r="G1505" s="87"/>
    </row>
    <row r="1506" spans="6:7" x14ac:dyDescent="0.3">
      <c r="F1506" s="87"/>
      <c r="G1506" s="87"/>
    </row>
    <row r="1507" spans="6:7" x14ac:dyDescent="0.3">
      <c r="F1507" s="87"/>
      <c r="G1507" s="87"/>
    </row>
    <row r="1508" spans="6:7" x14ac:dyDescent="0.3">
      <c r="F1508" s="87"/>
      <c r="G1508" s="87"/>
    </row>
    <row r="1509" spans="6:7" x14ac:dyDescent="0.3">
      <c r="F1509" s="87"/>
      <c r="G1509" s="87"/>
    </row>
    <row r="1510" spans="6:7" x14ac:dyDescent="0.3">
      <c r="F1510" s="87"/>
      <c r="G1510" s="87"/>
    </row>
    <row r="1511" spans="6:7" x14ac:dyDescent="0.3">
      <c r="F1511" s="87"/>
      <c r="G1511" s="87"/>
    </row>
    <row r="1512" spans="6:7" x14ac:dyDescent="0.3">
      <c r="F1512" s="87"/>
      <c r="G1512" s="87"/>
    </row>
    <row r="1513" spans="6:7" x14ac:dyDescent="0.3">
      <c r="F1513" s="87"/>
      <c r="G1513" s="87"/>
    </row>
    <row r="1514" spans="6:7" x14ac:dyDescent="0.3">
      <c r="F1514" s="87"/>
      <c r="G1514" s="87"/>
    </row>
    <row r="1515" spans="6:7" x14ac:dyDescent="0.3">
      <c r="F1515" s="87"/>
      <c r="G1515" s="87"/>
    </row>
    <row r="1516" spans="6:7" x14ac:dyDescent="0.3">
      <c r="F1516" s="87"/>
      <c r="G1516" s="87"/>
    </row>
    <row r="1517" spans="6:7" x14ac:dyDescent="0.3">
      <c r="F1517" s="87"/>
      <c r="G1517" s="87"/>
    </row>
    <row r="1518" spans="6:7" x14ac:dyDescent="0.3">
      <c r="F1518" s="87"/>
      <c r="G1518" s="87"/>
    </row>
    <row r="1519" spans="6:7" x14ac:dyDescent="0.3">
      <c r="F1519" s="87"/>
      <c r="G1519" s="87"/>
    </row>
    <row r="1520" spans="6:7" x14ac:dyDescent="0.3">
      <c r="F1520" s="87"/>
      <c r="G1520" s="87"/>
    </row>
    <row r="1521" spans="6:7" x14ac:dyDescent="0.3">
      <c r="F1521" s="87"/>
      <c r="G1521" s="87"/>
    </row>
    <row r="1522" spans="6:7" x14ac:dyDescent="0.3">
      <c r="F1522" s="87"/>
      <c r="G1522" s="87"/>
    </row>
    <row r="1523" spans="6:7" x14ac:dyDescent="0.3">
      <c r="F1523" s="87"/>
      <c r="G1523" s="87"/>
    </row>
    <row r="1524" spans="6:7" x14ac:dyDescent="0.3">
      <c r="F1524" s="87"/>
      <c r="G1524" s="87"/>
    </row>
    <row r="1525" spans="6:7" x14ac:dyDescent="0.3">
      <c r="F1525" s="87"/>
      <c r="G1525" s="87"/>
    </row>
    <row r="1526" spans="6:7" x14ac:dyDescent="0.3">
      <c r="F1526" s="87"/>
      <c r="G1526" s="87"/>
    </row>
    <row r="1527" spans="6:7" x14ac:dyDescent="0.3">
      <c r="F1527" s="87"/>
      <c r="G1527" s="87"/>
    </row>
    <row r="1528" spans="6:7" x14ac:dyDescent="0.3">
      <c r="F1528" s="87"/>
      <c r="G1528" s="87"/>
    </row>
    <row r="1529" spans="6:7" x14ac:dyDescent="0.3">
      <c r="F1529" s="87"/>
      <c r="G1529" s="87"/>
    </row>
    <row r="1530" spans="6:7" x14ac:dyDescent="0.3">
      <c r="F1530" s="87"/>
      <c r="G1530" s="87"/>
    </row>
    <row r="1531" spans="6:7" x14ac:dyDescent="0.3">
      <c r="F1531" s="87"/>
      <c r="G1531" s="87"/>
    </row>
    <row r="1532" spans="6:7" x14ac:dyDescent="0.3">
      <c r="F1532" s="87"/>
      <c r="G1532" s="87"/>
    </row>
    <row r="1533" spans="6:7" x14ac:dyDescent="0.3">
      <c r="F1533" s="87"/>
      <c r="G1533" s="87"/>
    </row>
    <row r="1534" spans="6:7" x14ac:dyDescent="0.3">
      <c r="F1534" s="87"/>
      <c r="G1534" s="87"/>
    </row>
    <row r="1535" spans="6:7" x14ac:dyDescent="0.3">
      <c r="F1535" s="87"/>
      <c r="G1535" s="87"/>
    </row>
    <row r="1536" spans="6:7" x14ac:dyDescent="0.3">
      <c r="F1536" s="87"/>
      <c r="G1536" s="87"/>
    </row>
    <row r="1537" spans="6:7" x14ac:dyDescent="0.3">
      <c r="F1537" s="87"/>
      <c r="G1537" s="87"/>
    </row>
    <row r="1538" spans="6:7" x14ac:dyDescent="0.3">
      <c r="F1538" s="87"/>
      <c r="G1538" s="87"/>
    </row>
    <row r="1539" spans="6:7" x14ac:dyDescent="0.3">
      <c r="F1539" s="87"/>
      <c r="G1539" s="87"/>
    </row>
    <row r="1540" spans="6:7" x14ac:dyDescent="0.3">
      <c r="F1540" s="87"/>
      <c r="G1540" s="87"/>
    </row>
    <row r="1541" spans="6:7" x14ac:dyDescent="0.3">
      <c r="F1541" s="87"/>
      <c r="G1541" s="87"/>
    </row>
    <row r="1542" spans="6:7" x14ac:dyDescent="0.3">
      <c r="F1542" s="87"/>
      <c r="G1542" s="87"/>
    </row>
    <row r="1543" spans="6:7" x14ac:dyDescent="0.3">
      <c r="F1543" s="87"/>
      <c r="G1543" s="87"/>
    </row>
    <row r="1544" spans="6:7" x14ac:dyDescent="0.3">
      <c r="F1544" s="87"/>
      <c r="G1544" s="87"/>
    </row>
    <row r="1545" spans="6:7" x14ac:dyDescent="0.3">
      <c r="F1545" s="87"/>
      <c r="G1545" s="87"/>
    </row>
    <row r="1546" spans="6:7" x14ac:dyDescent="0.3">
      <c r="F1546" s="87"/>
      <c r="G1546" s="87"/>
    </row>
    <row r="1547" spans="6:7" x14ac:dyDescent="0.3">
      <c r="F1547" s="87"/>
      <c r="G1547" s="87"/>
    </row>
    <row r="1548" spans="6:7" x14ac:dyDescent="0.3">
      <c r="F1548" s="87"/>
      <c r="G1548" s="87"/>
    </row>
    <row r="1549" spans="6:7" x14ac:dyDescent="0.3">
      <c r="F1549" s="87"/>
      <c r="G1549" s="87"/>
    </row>
    <row r="1550" spans="6:7" x14ac:dyDescent="0.3">
      <c r="F1550" s="87"/>
      <c r="G1550" s="87"/>
    </row>
    <row r="1551" spans="6:7" x14ac:dyDescent="0.3">
      <c r="F1551" s="87"/>
      <c r="G1551" s="87"/>
    </row>
    <row r="1552" spans="6:7" x14ac:dyDescent="0.3">
      <c r="F1552" s="87"/>
      <c r="G1552" s="87"/>
    </row>
    <row r="1553" spans="6:7" x14ac:dyDescent="0.3">
      <c r="F1553" s="87"/>
      <c r="G1553" s="87"/>
    </row>
    <row r="1554" spans="6:7" x14ac:dyDescent="0.3">
      <c r="F1554" s="87"/>
      <c r="G1554" s="87"/>
    </row>
    <row r="1555" spans="6:7" x14ac:dyDescent="0.3">
      <c r="F1555" s="87"/>
      <c r="G1555" s="87"/>
    </row>
    <row r="1556" spans="6:7" x14ac:dyDescent="0.3">
      <c r="F1556" s="87"/>
      <c r="G1556" s="87"/>
    </row>
    <row r="1557" spans="6:7" x14ac:dyDescent="0.3">
      <c r="F1557" s="87"/>
      <c r="G1557" s="87"/>
    </row>
    <row r="1558" spans="6:7" x14ac:dyDescent="0.3">
      <c r="F1558" s="87"/>
      <c r="G1558" s="87"/>
    </row>
    <row r="1559" spans="6:7" x14ac:dyDescent="0.3">
      <c r="F1559" s="87"/>
      <c r="G1559" s="87"/>
    </row>
    <row r="1560" spans="6:7" x14ac:dyDescent="0.3">
      <c r="F1560" s="87"/>
      <c r="G1560" s="87"/>
    </row>
    <row r="1561" spans="6:7" x14ac:dyDescent="0.3">
      <c r="F1561" s="87"/>
      <c r="G1561" s="87"/>
    </row>
    <row r="1562" spans="6:7" x14ac:dyDescent="0.3">
      <c r="F1562" s="87"/>
      <c r="G1562" s="87"/>
    </row>
    <row r="1563" spans="6:7" x14ac:dyDescent="0.3">
      <c r="F1563" s="87"/>
      <c r="G1563" s="87"/>
    </row>
    <row r="1564" spans="6:7" x14ac:dyDescent="0.3">
      <c r="F1564" s="87"/>
      <c r="G1564" s="87"/>
    </row>
    <row r="1565" spans="6:7" x14ac:dyDescent="0.3">
      <c r="F1565" s="87"/>
      <c r="G1565" s="87"/>
    </row>
    <row r="1566" spans="6:7" x14ac:dyDescent="0.3">
      <c r="F1566" s="87"/>
      <c r="G1566" s="87"/>
    </row>
    <row r="1567" spans="6:7" x14ac:dyDescent="0.3">
      <c r="F1567" s="87"/>
      <c r="G1567" s="87"/>
    </row>
    <row r="1568" spans="6:7" x14ac:dyDescent="0.3">
      <c r="F1568" s="87"/>
      <c r="G1568" s="87"/>
    </row>
    <row r="1569" spans="6:7" x14ac:dyDescent="0.3">
      <c r="F1569" s="87"/>
      <c r="G1569" s="87"/>
    </row>
    <row r="1570" spans="6:7" x14ac:dyDescent="0.3">
      <c r="F1570" s="87"/>
      <c r="G1570" s="87"/>
    </row>
    <row r="1571" spans="6:7" x14ac:dyDescent="0.3">
      <c r="F1571" s="87"/>
      <c r="G1571" s="87"/>
    </row>
    <row r="1572" spans="6:7" x14ac:dyDescent="0.3">
      <c r="F1572" s="87"/>
      <c r="G1572" s="87"/>
    </row>
    <row r="1573" spans="6:7" x14ac:dyDescent="0.3">
      <c r="F1573" s="87"/>
      <c r="G1573" s="87"/>
    </row>
    <row r="1574" spans="6:7" x14ac:dyDescent="0.3">
      <c r="F1574" s="87"/>
      <c r="G1574" s="87"/>
    </row>
    <row r="1575" spans="6:7" x14ac:dyDescent="0.3">
      <c r="F1575" s="87"/>
      <c r="G1575" s="87"/>
    </row>
    <row r="1576" spans="6:7" x14ac:dyDescent="0.3">
      <c r="F1576" s="87"/>
      <c r="G1576" s="87"/>
    </row>
    <row r="1577" spans="6:7" x14ac:dyDescent="0.3">
      <c r="F1577" s="87"/>
      <c r="G1577" s="87"/>
    </row>
    <row r="1578" spans="6:7" x14ac:dyDescent="0.3">
      <c r="F1578" s="87"/>
      <c r="G1578" s="87"/>
    </row>
    <row r="1579" spans="6:7" x14ac:dyDescent="0.3">
      <c r="F1579" s="87"/>
      <c r="G1579" s="87"/>
    </row>
    <row r="1580" spans="6:7" x14ac:dyDescent="0.3">
      <c r="F1580" s="87"/>
      <c r="G1580" s="87"/>
    </row>
    <row r="1581" spans="6:7" x14ac:dyDescent="0.3">
      <c r="F1581" s="87"/>
      <c r="G1581" s="87"/>
    </row>
    <row r="1582" spans="6:7" x14ac:dyDescent="0.3">
      <c r="F1582" s="87"/>
      <c r="G1582" s="87"/>
    </row>
    <row r="1583" spans="6:7" x14ac:dyDescent="0.3">
      <c r="F1583" s="87"/>
      <c r="G1583" s="87"/>
    </row>
    <row r="1584" spans="6:7" x14ac:dyDescent="0.3">
      <c r="F1584" s="87"/>
      <c r="G1584" s="87"/>
    </row>
    <row r="1585" spans="6:7" x14ac:dyDescent="0.3">
      <c r="F1585" s="87"/>
      <c r="G1585" s="87"/>
    </row>
    <row r="1586" spans="6:7" x14ac:dyDescent="0.3">
      <c r="F1586" s="87"/>
      <c r="G1586" s="87"/>
    </row>
    <row r="1587" spans="6:7" x14ac:dyDescent="0.3">
      <c r="F1587" s="87"/>
      <c r="G1587" s="87"/>
    </row>
    <row r="1588" spans="6:7" x14ac:dyDescent="0.3">
      <c r="F1588" s="87"/>
      <c r="G1588" s="87"/>
    </row>
    <row r="1589" spans="6:7" x14ac:dyDescent="0.3">
      <c r="F1589" s="87"/>
      <c r="G1589" s="87"/>
    </row>
    <row r="1590" spans="6:7" x14ac:dyDescent="0.3">
      <c r="F1590" s="87"/>
      <c r="G1590" s="87"/>
    </row>
    <row r="1591" spans="6:7" x14ac:dyDescent="0.3">
      <c r="F1591" s="87"/>
      <c r="G1591" s="87"/>
    </row>
    <row r="1592" spans="6:7" x14ac:dyDescent="0.3">
      <c r="F1592" s="87"/>
      <c r="G1592" s="87"/>
    </row>
    <row r="1593" spans="6:7" x14ac:dyDescent="0.3">
      <c r="F1593" s="87"/>
      <c r="G1593" s="87"/>
    </row>
    <row r="1594" spans="6:7" x14ac:dyDescent="0.3">
      <c r="F1594" s="87"/>
      <c r="G1594" s="87"/>
    </row>
    <row r="1595" spans="6:7" x14ac:dyDescent="0.3">
      <c r="F1595" s="87"/>
      <c r="G1595" s="87"/>
    </row>
    <row r="1596" spans="6:7" x14ac:dyDescent="0.3">
      <c r="F1596" s="87"/>
      <c r="G1596" s="87"/>
    </row>
    <row r="1597" spans="6:7" x14ac:dyDescent="0.3">
      <c r="F1597" s="87"/>
      <c r="G1597" s="87"/>
    </row>
    <row r="1598" spans="6:7" x14ac:dyDescent="0.3">
      <c r="F1598" s="87"/>
      <c r="G1598" s="87"/>
    </row>
    <row r="1599" spans="6:7" x14ac:dyDescent="0.3">
      <c r="F1599" s="87"/>
      <c r="G1599" s="87"/>
    </row>
    <row r="1600" spans="6:7" x14ac:dyDescent="0.3">
      <c r="F1600" s="87"/>
      <c r="G1600" s="87"/>
    </row>
    <row r="1601" spans="6:7" x14ac:dyDescent="0.3">
      <c r="F1601" s="87"/>
      <c r="G1601" s="87"/>
    </row>
    <row r="1602" spans="6:7" x14ac:dyDescent="0.3">
      <c r="F1602" s="87"/>
      <c r="G1602" s="87"/>
    </row>
    <row r="1603" spans="6:7" x14ac:dyDescent="0.3">
      <c r="F1603" s="87"/>
      <c r="G1603" s="87"/>
    </row>
    <row r="1604" spans="6:7" x14ac:dyDescent="0.3">
      <c r="F1604" s="87"/>
      <c r="G1604" s="87"/>
    </row>
    <row r="1605" spans="6:7" x14ac:dyDescent="0.3">
      <c r="F1605" s="87"/>
      <c r="G1605" s="87"/>
    </row>
    <row r="1606" spans="6:7" x14ac:dyDescent="0.3">
      <c r="F1606" s="87"/>
      <c r="G1606" s="87"/>
    </row>
    <row r="1607" spans="6:7" x14ac:dyDescent="0.3">
      <c r="F1607" s="87"/>
      <c r="G1607" s="87"/>
    </row>
    <row r="1608" spans="6:7" x14ac:dyDescent="0.3">
      <c r="F1608" s="87"/>
      <c r="G1608" s="87"/>
    </row>
    <row r="1609" spans="6:7" x14ac:dyDescent="0.3">
      <c r="F1609" s="87"/>
      <c r="G1609" s="87"/>
    </row>
    <row r="1610" spans="6:7" x14ac:dyDescent="0.3">
      <c r="F1610" s="87"/>
      <c r="G1610" s="87"/>
    </row>
    <row r="1611" spans="6:7" x14ac:dyDescent="0.3">
      <c r="F1611" s="87"/>
      <c r="G1611" s="87"/>
    </row>
    <row r="1612" spans="6:7" x14ac:dyDescent="0.3">
      <c r="F1612" s="87"/>
      <c r="G1612" s="87"/>
    </row>
    <row r="1613" spans="6:7" x14ac:dyDescent="0.3">
      <c r="F1613" s="87"/>
      <c r="G1613" s="87"/>
    </row>
    <row r="1614" spans="6:7" x14ac:dyDescent="0.3">
      <c r="F1614" s="87"/>
      <c r="G1614" s="87"/>
    </row>
    <row r="1615" spans="6:7" x14ac:dyDescent="0.3">
      <c r="F1615" s="87"/>
      <c r="G1615" s="87"/>
    </row>
    <row r="1616" spans="6:7" x14ac:dyDescent="0.3">
      <c r="F1616" s="87"/>
      <c r="G1616" s="87"/>
    </row>
    <row r="1617" spans="6:7" x14ac:dyDescent="0.3">
      <c r="F1617" s="87"/>
      <c r="G1617" s="87"/>
    </row>
    <row r="1618" spans="6:7" x14ac:dyDescent="0.3">
      <c r="F1618" s="87"/>
      <c r="G1618" s="87"/>
    </row>
    <row r="1619" spans="6:7" x14ac:dyDescent="0.3">
      <c r="F1619" s="87"/>
      <c r="G1619" s="87"/>
    </row>
    <row r="1620" spans="6:7" x14ac:dyDescent="0.3">
      <c r="F1620" s="87"/>
      <c r="G1620" s="87"/>
    </row>
    <row r="1621" spans="6:7" x14ac:dyDescent="0.3">
      <c r="F1621" s="87"/>
      <c r="G1621" s="87"/>
    </row>
    <row r="1622" spans="6:7" x14ac:dyDescent="0.3">
      <c r="F1622" s="87"/>
      <c r="G1622" s="87"/>
    </row>
    <row r="1623" spans="6:7" x14ac:dyDescent="0.3">
      <c r="F1623" s="87"/>
      <c r="G1623" s="87"/>
    </row>
    <row r="1624" spans="6:7" x14ac:dyDescent="0.3">
      <c r="F1624" s="87"/>
      <c r="G1624" s="87"/>
    </row>
    <row r="1625" spans="6:7" x14ac:dyDescent="0.3">
      <c r="F1625" s="87"/>
      <c r="G1625" s="87"/>
    </row>
    <row r="1626" spans="6:7" x14ac:dyDescent="0.3">
      <c r="F1626" s="87"/>
      <c r="G1626" s="87"/>
    </row>
    <row r="1627" spans="6:7" x14ac:dyDescent="0.3">
      <c r="F1627" s="87"/>
      <c r="G1627" s="87"/>
    </row>
    <row r="1628" spans="6:7" x14ac:dyDescent="0.3">
      <c r="F1628" s="87"/>
      <c r="G1628" s="87"/>
    </row>
    <row r="1629" spans="6:7" x14ac:dyDescent="0.3">
      <c r="F1629" s="87"/>
      <c r="G1629" s="87"/>
    </row>
    <row r="1630" spans="6:7" x14ac:dyDescent="0.3">
      <c r="F1630" s="87"/>
      <c r="G1630" s="87"/>
    </row>
    <row r="1631" spans="6:7" x14ac:dyDescent="0.3">
      <c r="F1631" s="87"/>
      <c r="G1631" s="87"/>
    </row>
    <row r="1632" spans="6:7" x14ac:dyDescent="0.3">
      <c r="F1632" s="87"/>
      <c r="G1632" s="87"/>
    </row>
    <row r="1633" spans="6:7" x14ac:dyDescent="0.3">
      <c r="F1633" s="87"/>
      <c r="G1633" s="87"/>
    </row>
    <row r="1634" spans="6:7" x14ac:dyDescent="0.3">
      <c r="F1634" s="87"/>
      <c r="G1634" s="87"/>
    </row>
    <row r="1635" spans="6:7" x14ac:dyDescent="0.3">
      <c r="F1635" s="87"/>
      <c r="G1635" s="87"/>
    </row>
    <row r="1636" spans="6:7" x14ac:dyDescent="0.3">
      <c r="F1636" s="87"/>
      <c r="G1636" s="87"/>
    </row>
    <row r="1637" spans="6:7" x14ac:dyDescent="0.3">
      <c r="F1637" s="87"/>
      <c r="G1637" s="87"/>
    </row>
    <row r="1638" spans="6:7" x14ac:dyDescent="0.3">
      <c r="F1638" s="87"/>
      <c r="G1638" s="87"/>
    </row>
    <row r="1639" spans="6:7" x14ac:dyDescent="0.3">
      <c r="F1639" s="87"/>
      <c r="G1639" s="87"/>
    </row>
    <row r="1640" spans="6:7" x14ac:dyDescent="0.3">
      <c r="F1640" s="87"/>
      <c r="G1640" s="87"/>
    </row>
    <row r="1641" spans="6:7" x14ac:dyDescent="0.3">
      <c r="F1641" s="87"/>
      <c r="G1641" s="87"/>
    </row>
    <row r="1642" spans="6:7" x14ac:dyDescent="0.3">
      <c r="F1642" s="87"/>
      <c r="G1642" s="87"/>
    </row>
    <row r="1643" spans="6:7" x14ac:dyDescent="0.3">
      <c r="F1643" s="87"/>
      <c r="G1643" s="87"/>
    </row>
    <row r="1644" spans="6:7" x14ac:dyDescent="0.3">
      <c r="F1644" s="87"/>
      <c r="G1644" s="87"/>
    </row>
    <row r="1645" spans="6:7" x14ac:dyDescent="0.3">
      <c r="F1645" s="87"/>
      <c r="G1645" s="87"/>
    </row>
    <row r="1646" spans="6:7" x14ac:dyDescent="0.3">
      <c r="F1646" s="87"/>
      <c r="G1646" s="87"/>
    </row>
    <row r="1647" spans="6:7" x14ac:dyDescent="0.3">
      <c r="F1647" s="87"/>
      <c r="G1647" s="87"/>
    </row>
    <row r="1648" spans="6:7" x14ac:dyDescent="0.3">
      <c r="F1648" s="87"/>
      <c r="G1648" s="87"/>
    </row>
    <row r="1649" spans="6:7" x14ac:dyDescent="0.3">
      <c r="F1649" s="87"/>
      <c r="G1649" s="87"/>
    </row>
    <row r="1650" spans="6:7" x14ac:dyDescent="0.3">
      <c r="F1650" s="87"/>
      <c r="G1650" s="87"/>
    </row>
    <row r="1651" spans="6:7" x14ac:dyDescent="0.3">
      <c r="F1651" s="87"/>
      <c r="G1651" s="87"/>
    </row>
    <row r="1652" spans="6:7" x14ac:dyDescent="0.3">
      <c r="F1652" s="87"/>
      <c r="G1652" s="87"/>
    </row>
    <row r="1653" spans="6:7" x14ac:dyDescent="0.3">
      <c r="F1653" s="87"/>
      <c r="G1653" s="87"/>
    </row>
    <row r="1654" spans="6:7" x14ac:dyDescent="0.3">
      <c r="F1654" s="87"/>
      <c r="G1654" s="87"/>
    </row>
    <row r="1655" spans="6:7" x14ac:dyDescent="0.3">
      <c r="F1655" s="87"/>
      <c r="G1655" s="87"/>
    </row>
    <row r="1656" spans="6:7" x14ac:dyDescent="0.3">
      <c r="F1656" s="87"/>
      <c r="G1656" s="87"/>
    </row>
    <row r="1657" spans="6:7" x14ac:dyDescent="0.3">
      <c r="F1657" s="87"/>
      <c r="G1657" s="87"/>
    </row>
    <row r="1658" spans="6:7" x14ac:dyDescent="0.3">
      <c r="F1658" s="87"/>
      <c r="G1658" s="87"/>
    </row>
    <row r="1659" spans="6:7" x14ac:dyDescent="0.3">
      <c r="F1659" s="87"/>
      <c r="G1659" s="87"/>
    </row>
    <row r="1660" spans="6:7" x14ac:dyDescent="0.3">
      <c r="F1660" s="87"/>
      <c r="G1660" s="87"/>
    </row>
    <row r="1661" spans="6:7" x14ac:dyDescent="0.3">
      <c r="F1661" s="87"/>
      <c r="G1661" s="87"/>
    </row>
    <row r="1662" spans="6:7" x14ac:dyDescent="0.3">
      <c r="F1662" s="87"/>
      <c r="G1662" s="87"/>
    </row>
    <row r="1663" spans="6:7" x14ac:dyDescent="0.3">
      <c r="F1663" s="87"/>
      <c r="G1663" s="87"/>
    </row>
    <row r="1664" spans="6:7" x14ac:dyDescent="0.3">
      <c r="F1664" s="87"/>
      <c r="G1664" s="87"/>
    </row>
    <row r="1665" spans="6:7" x14ac:dyDescent="0.3">
      <c r="F1665" s="87"/>
      <c r="G1665" s="87"/>
    </row>
    <row r="1666" spans="6:7" x14ac:dyDescent="0.3">
      <c r="F1666" s="87"/>
      <c r="G1666" s="87"/>
    </row>
    <row r="1667" spans="6:7" x14ac:dyDescent="0.3">
      <c r="F1667" s="87"/>
      <c r="G1667" s="87"/>
    </row>
    <row r="1668" spans="6:7" x14ac:dyDescent="0.3">
      <c r="F1668" s="87"/>
      <c r="G1668" s="87"/>
    </row>
    <row r="1669" spans="6:7" x14ac:dyDescent="0.3">
      <c r="F1669" s="87"/>
      <c r="G1669" s="87"/>
    </row>
    <row r="1670" spans="6:7" x14ac:dyDescent="0.3">
      <c r="F1670" s="87"/>
      <c r="G1670" s="87"/>
    </row>
    <row r="1671" spans="6:7" x14ac:dyDescent="0.3">
      <c r="F1671" s="87"/>
      <c r="G1671" s="87"/>
    </row>
    <row r="1672" spans="6:7" x14ac:dyDescent="0.3">
      <c r="F1672" s="87"/>
      <c r="G1672" s="87"/>
    </row>
    <row r="1673" spans="6:7" x14ac:dyDescent="0.3">
      <c r="F1673" s="87"/>
      <c r="G1673" s="87"/>
    </row>
    <row r="1674" spans="6:7" x14ac:dyDescent="0.3">
      <c r="F1674" s="87"/>
      <c r="G1674" s="87"/>
    </row>
    <row r="1675" spans="6:7" x14ac:dyDescent="0.3">
      <c r="F1675" s="87"/>
      <c r="G1675" s="87"/>
    </row>
    <row r="1676" spans="6:7" x14ac:dyDescent="0.3">
      <c r="F1676" s="87"/>
      <c r="G1676" s="87"/>
    </row>
    <row r="1677" spans="6:7" x14ac:dyDescent="0.3">
      <c r="F1677" s="87"/>
      <c r="G1677" s="87"/>
    </row>
    <row r="1678" spans="6:7" x14ac:dyDescent="0.3">
      <c r="F1678" s="87"/>
      <c r="G1678" s="87"/>
    </row>
    <row r="1679" spans="6:7" x14ac:dyDescent="0.3">
      <c r="F1679" s="87"/>
      <c r="G1679" s="87"/>
    </row>
    <row r="1680" spans="6:7" x14ac:dyDescent="0.3">
      <c r="F1680" s="87"/>
      <c r="G1680" s="87"/>
    </row>
    <row r="1681" spans="6:7" x14ac:dyDescent="0.3">
      <c r="F1681" s="87"/>
      <c r="G1681" s="87"/>
    </row>
    <row r="1682" spans="6:7" x14ac:dyDescent="0.3">
      <c r="F1682" s="87"/>
      <c r="G1682" s="87"/>
    </row>
    <row r="1683" spans="6:7" x14ac:dyDescent="0.3">
      <c r="F1683" s="87"/>
      <c r="G1683" s="87"/>
    </row>
    <row r="1684" spans="6:7" x14ac:dyDescent="0.3">
      <c r="F1684" s="87"/>
      <c r="G1684" s="87"/>
    </row>
    <row r="1685" spans="6:7" x14ac:dyDescent="0.3">
      <c r="F1685" s="87"/>
      <c r="G1685" s="87"/>
    </row>
    <row r="1686" spans="6:7" x14ac:dyDescent="0.3">
      <c r="F1686" s="87"/>
      <c r="G1686" s="87"/>
    </row>
    <row r="1687" spans="6:7" x14ac:dyDescent="0.3">
      <c r="F1687" s="87"/>
      <c r="G1687" s="87"/>
    </row>
    <row r="1688" spans="6:7" x14ac:dyDescent="0.3">
      <c r="F1688" s="87"/>
      <c r="G1688" s="87"/>
    </row>
    <row r="1689" spans="6:7" x14ac:dyDescent="0.3">
      <c r="F1689" s="87"/>
      <c r="G1689" s="87"/>
    </row>
    <row r="1690" spans="6:7" x14ac:dyDescent="0.3">
      <c r="F1690" s="87"/>
      <c r="G1690" s="87"/>
    </row>
    <row r="1691" spans="6:7" x14ac:dyDescent="0.3">
      <c r="F1691" s="87"/>
      <c r="G1691" s="87"/>
    </row>
    <row r="1692" spans="6:7" x14ac:dyDescent="0.3">
      <c r="F1692" s="87"/>
      <c r="G1692" s="87"/>
    </row>
    <row r="1693" spans="6:7" x14ac:dyDescent="0.3">
      <c r="F1693" s="87"/>
      <c r="G1693" s="87"/>
    </row>
    <row r="1694" spans="6:7" x14ac:dyDescent="0.3">
      <c r="F1694" s="87"/>
      <c r="G1694" s="87"/>
    </row>
    <row r="1695" spans="6:7" x14ac:dyDescent="0.3">
      <c r="F1695" s="87"/>
      <c r="G1695" s="87"/>
    </row>
    <row r="1696" spans="6:7" x14ac:dyDescent="0.3">
      <c r="F1696" s="87"/>
      <c r="G1696" s="87"/>
    </row>
    <row r="1697" spans="6:7" x14ac:dyDescent="0.3">
      <c r="F1697" s="87"/>
      <c r="G1697" s="87"/>
    </row>
    <row r="1698" spans="6:7" x14ac:dyDescent="0.3">
      <c r="F1698" s="87"/>
      <c r="G1698" s="87"/>
    </row>
    <row r="1699" spans="6:7" x14ac:dyDescent="0.3">
      <c r="F1699" s="87"/>
      <c r="G1699" s="87"/>
    </row>
    <row r="1700" spans="6:7" x14ac:dyDescent="0.3">
      <c r="F1700" s="87"/>
      <c r="G1700" s="87"/>
    </row>
    <row r="1701" spans="6:7" x14ac:dyDescent="0.3">
      <c r="F1701" s="87"/>
      <c r="G1701" s="87"/>
    </row>
    <row r="1702" spans="6:7" x14ac:dyDescent="0.3">
      <c r="F1702" s="87"/>
      <c r="G1702" s="87"/>
    </row>
    <row r="1703" spans="6:7" x14ac:dyDescent="0.3">
      <c r="F1703" s="87"/>
      <c r="G1703" s="87"/>
    </row>
    <row r="1704" spans="6:7" x14ac:dyDescent="0.3">
      <c r="F1704" s="87"/>
      <c r="G1704" s="87"/>
    </row>
    <row r="1705" spans="6:7" x14ac:dyDescent="0.3">
      <c r="F1705" s="87"/>
      <c r="G1705" s="87"/>
    </row>
    <row r="1706" spans="6:7" x14ac:dyDescent="0.3">
      <c r="F1706" s="87"/>
      <c r="G1706" s="87"/>
    </row>
    <row r="1707" spans="6:7" x14ac:dyDescent="0.3">
      <c r="F1707" s="87"/>
      <c r="G1707" s="87"/>
    </row>
    <row r="1708" spans="6:7" x14ac:dyDescent="0.3">
      <c r="F1708" s="87"/>
      <c r="G1708" s="87"/>
    </row>
    <row r="1709" spans="6:7" x14ac:dyDescent="0.3">
      <c r="F1709" s="87"/>
      <c r="G1709" s="87"/>
    </row>
    <row r="1710" spans="6:7" x14ac:dyDescent="0.3">
      <c r="F1710" s="87"/>
      <c r="G1710" s="87"/>
    </row>
    <row r="1711" spans="6:7" x14ac:dyDescent="0.3">
      <c r="F1711" s="87"/>
      <c r="G1711" s="87"/>
    </row>
    <row r="1712" spans="6:7" x14ac:dyDescent="0.3">
      <c r="F1712" s="87"/>
      <c r="G1712" s="87"/>
    </row>
    <row r="1713" spans="6:7" x14ac:dyDescent="0.3">
      <c r="F1713" s="87"/>
      <c r="G1713" s="87"/>
    </row>
    <row r="1714" spans="6:7" x14ac:dyDescent="0.3">
      <c r="F1714" s="87"/>
      <c r="G1714" s="87"/>
    </row>
    <row r="1715" spans="6:7" x14ac:dyDescent="0.3">
      <c r="F1715" s="87"/>
      <c r="G1715" s="87"/>
    </row>
    <row r="1716" spans="6:7" x14ac:dyDescent="0.3">
      <c r="F1716" s="87"/>
      <c r="G1716" s="87"/>
    </row>
    <row r="1717" spans="6:7" x14ac:dyDescent="0.3">
      <c r="F1717" s="87"/>
      <c r="G1717" s="87"/>
    </row>
    <row r="1718" spans="6:7" x14ac:dyDescent="0.3">
      <c r="F1718" s="87"/>
      <c r="G1718" s="87"/>
    </row>
    <row r="1719" spans="6:7" x14ac:dyDescent="0.3">
      <c r="F1719" s="87"/>
      <c r="G1719" s="87"/>
    </row>
    <row r="1720" spans="6:7" x14ac:dyDescent="0.3">
      <c r="F1720" s="87"/>
      <c r="G1720" s="87"/>
    </row>
    <row r="1721" spans="6:7" x14ac:dyDescent="0.3">
      <c r="F1721" s="87"/>
      <c r="G1721" s="87"/>
    </row>
    <row r="1722" spans="6:7" x14ac:dyDescent="0.3">
      <c r="F1722" s="87"/>
      <c r="G1722" s="87"/>
    </row>
    <row r="1723" spans="6:7" x14ac:dyDescent="0.3">
      <c r="F1723" s="87"/>
      <c r="G1723" s="87"/>
    </row>
    <row r="1724" spans="6:7" x14ac:dyDescent="0.3">
      <c r="F1724" s="87"/>
      <c r="G1724" s="87"/>
    </row>
    <row r="1725" spans="6:7" x14ac:dyDescent="0.3">
      <c r="F1725" s="87"/>
      <c r="G1725" s="87"/>
    </row>
    <row r="1726" spans="6:7" x14ac:dyDescent="0.3">
      <c r="F1726" s="87"/>
      <c r="G1726" s="87"/>
    </row>
    <row r="1727" spans="6:7" x14ac:dyDescent="0.3">
      <c r="F1727" s="87"/>
      <c r="G1727" s="87"/>
    </row>
    <row r="1728" spans="6:7" x14ac:dyDescent="0.3">
      <c r="F1728" s="87"/>
      <c r="G1728" s="87"/>
    </row>
    <row r="1729" spans="6:7" x14ac:dyDescent="0.3">
      <c r="F1729" s="87"/>
      <c r="G1729" s="87"/>
    </row>
    <row r="1730" spans="6:7" x14ac:dyDescent="0.3">
      <c r="F1730" s="87"/>
      <c r="G1730" s="87"/>
    </row>
    <row r="1731" spans="6:7" x14ac:dyDescent="0.3">
      <c r="F1731" s="87"/>
      <c r="G1731" s="87"/>
    </row>
    <row r="1732" spans="6:7" x14ac:dyDescent="0.3">
      <c r="F1732" s="87"/>
      <c r="G1732" s="87"/>
    </row>
    <row r="1733" spans="6:7" x14ac:dyDescent="0.3">
      <c r="F1733" s="87"/>
      <c r="G1733" s="87"/>
    </row>
    <row r="1734" spans="6:7" x14ac:dyDescent="0.3">
      <c r="F1734" s="87"/>
      <c r="G1734" s="87"/>
    </row>
    <row r="1735" spans="6:7" x14ac:dyDescent="0.3">
      <c r="F1735" s="87"/>
      <c r="G1735" s="87"/>
    </row>
    <row r="1736" spans="6:7" x14ac:dyDescent="0.3">
      <c r="F1736" s="87"/>
      <c r="G1736" s="87"/>
    </row>
    <row r="1737" spans="6:7" x14ac:dyDescent="0.3">
      <c r="F1737" s="87"/>
      <c r="G1737" s="87"/>
    </row>
    <row r="1738" spans="6:7" x14ac:dyDescent="0.3">
      <c r="F1738" s="87"/>
      <c r="G1738" s="87"/>
    </row>
    <row r="1739" spans="6:7" x14ac:dyDescent="0.3">
      <c r="F1739" s="87"/>
      <c r="G1739" s="87"/>
    </row>
    <row r="1740" spans="6:7" x14ac:dyDescent="0.3">
      <c r="F1740" s="87"/>
      <c r="G1740" s="87"/>
    </row>
    <row r="1741" spans="6:7" x14ac:dyDescent="0.3">
      <c r="F1741" s="87"/>
      <c r="G1741" s="87"/>
    </row>
    <row r="1742" spans="6:7" x14ac:dyDescent="0.3">
      <c r="F1742" s="87"/>
      <c r="G1742" s="87"/>
    </row>
    <row r="1743" spans="6:7" x14ac:dyDescent="0.3">
      <c r="F1743" s="87"/>
      <c r="G1743" s="87"/>
    </row>
    <row r="1744" spans="6:7" x14ac:dyDescent="0.3">
      <c r="F1744" s="87"/>
      <c r="G1744" s="87"/>
    </row>
    <row r="1745" spans="6:7" x14ac:dyDescent="0.3">
      <c r="F1745" s="87"/>
      <c r="G1745" s="87"/>
    </row>
    <row r="1746" spans="6:7" x14ac:dyDescent="0.3">
      <c r="F1746" s="87"/>
      <c r="G1746" s="87"/>
    </row>
    <row r="1747" spans="6:7" x14ac:dyDescent="0.3">
      <c r="F1747" s="87"/>
      <c r="G1747" s="87"/>
    </row>
    <row r="1748" spans="6:7" x14ac:dyDescent="0.3">
      <c r="F1748" s="87"/>
      <c r="G1748" s="87"/>
    </row>
    <row r="1749" spans="6:7" x14ac:dyDescent="0.3">
      <c r="F1749" s="87"/>
      <c r="G1749" s="87"/>
    </row>
    <row r="1750" spans="6:7" x14ac:dyDescent="0.3">
      <c r="F1750" s="87"/>
      <c r="G1750" s="87"/>
    </row>
    <row r="1751" spans="6:7" x14ac:dyDescent="0.3">
      <c r="F1751" s="87"/>
      <c r="G1751" s="87"/>
    </row>
    <row r="1752" spans="6:7" x14ac:dyDescent="0.3">
      <c r="F1752" s="87"/>
      <c r="G1752" s="87"/>
    </row>
  </sheetData>
  <sheetProtection password="CD90" sheet="1" objects="1" scenarios="1" formatCells="0" formatRows="0" insertRows="0"/>
  <mergeCells count="266">
    <mergeCell ref="L393:AR393"/>
    <mergeCell ref="L395:AR395"/>
    <mergeCell ref="L397:AR398"/>
    <mergeCell ref="L399:AR399"/>
    <mergeCell ref="L391:AR391"/>
    <mergeCell ref="L359:AR359"/>
    <mergeCell ref="L361:AR361"/>
    <mergeCell ref="L363:AR363"/>
    <mergeCell ref="L379:AR379"/>
    <mergeCell ref="L365:AR365"/>
    <mergeCell ref="L367:AR367"/>
    <mergeCell ref="J369:AR369"/>
    <mergeCell ref="J371:AR371"/>
    <mergeCell ref="L375:AR375"/>
    <mergeCell ref="L377:AR377"/>
    <mergeCell ref="J401:AR401"/>
    <mergeCell ref="J403:AR403"/>
    <mergeCell ref="L381:AR381"/>
    <mergeCell ref="L383:AR383"/>
    <mergeCell ref="J385:AR385"/>
    <mergeCell ref="J387:AR387"/>
    <mergeCell ref="L499:AR499"/>
    <mergeCell ref="J501:AR501"/>
    <mergeCell ref="J503:AR503"/>
    <mergeCell ref="L481:AR481"/>
    <mergeCell ref="L483:AR483"/>
    <mergeCell ref="J485:AR485"/>
    <mergeCell ref="J487:AR487"/>
    <mergeCell ref="L491:AR491"/>
    <mergeCell ref="L493:AR493"/>
    <mergeCell ref="L495:AR495"/>
    <mergeCell ref="L497:AR497"/>
    <mergeCell ref="L475:AR475"/>
    <mergeCell ref="L477:AR477"/>
    <mergeCell ref="L479:AR479"/>
    <mergeCell ref="J455:AR455"/>
    <mergeCell ref="L459:AR459"/>
    <mergeCell ref="L461:AR461"/>
    <mergeCell ref="L465:AR465"/>
    <mergeCell ref="L467:AR467"/>
    <mergeCell ref="L463:AR463"/>
    <mergeCell ref="J469:AR469"/>
    <mergeCell ref="J471:AR471"/>
    <mergeCell ref="A437:AR437"/>
    <mergeCell ref="AC438:AH438"/>
    <mergeCell ref="AJ438:AR438"/>
    <mergeCell ref="AJ439:AR439"/>
    <mergeCell ref="J453:AR453"/>
    <mergeCell ref="L429:AR429"/>
    <mergeCell ref="L431:AR431"/>
    <mergeCell ref="J433:AR433"/>
    <mergeCell ref="J435:AR435"/>
    <mergeCell ref="L449:AR449"/>
    <mergeCell ref="L445:AR445"/>
    <mergeCell ref="L447:AR447"/>
    <mergeCell ref="L451:AR451"/>
    <mergeCell ref="L443:AR443"/>
    <mergeCell ref="L423:AR423"/>
    <mergeCell ref="L425:AR425"/>
    <mergeCell ref="L427:AR427"/>
    <mergeCell ref="L407:AR407"/>
    <mergeCell ref="L409:AR409"/>
    <mergeCell ref="L411:AR411"/>
    <mergeCell ref="L413:AR413"/>
    <mergeCell ref="L415:AR415"/>
    <mergeCell ref="J417:AR417"/>
    <mergeCell ref="J419:AR419"/>
    <mergeCell ref="AJ355:AR355"/>
    <mergeCell ref="L339:AR339"/>
    <mergeCell ref="L341:AR341"/>
    <mergeCell ref="L343:AR343"/>
    <mergeCell ref="L345:AR345"/>
    <mergeCell ref="L347:AR347"/>
    <mergeCell ref="J349:AR349"/>
    <mergeCell ref="L327:AR327"/>
    <mergeCell ref="L329:AR329"/>
    <mergeCell ref="J331:AR331"/>
    <mergeCell ref="J333:AR333"/>
    <mergeCell ref="L337:AR337"/>
    <mergeCell ref="J351:AR351"/>
    <mergeCell ref="A353:AR353"/>
    <mergeCell ref="AC354:AH354"/>
    <mergeCell ref="AJ354:AR354"/>
    <mergeCell ref="J315:AR315"/>
    <mergeCell ref="J317:AR317"/>
    <mergeCell ref="L321:AR321"/>
    <mergeCell ref="L323:AR323"/>
    <mergeCell ref="L325:AR325"/>
    <mergeCell ref="L305:AR305"/>
    <mergeCell ref="L307:AR307"/>
    <mergeCell ref="L309:AR309"/>
    <mergeCell ref="L311:AR311"/>
    <mergeCell ref="L313:AR313"/>
    <mergeCell ref="L291:AR291"/>
    <mergeCell ref="L293:AR293"/>
    <mergeCell ref="L295:AR295"/>
    <mergeCell ref="L297:AR297"/>
    <mergeCell ref="J299:AR299"/>
    <mergeCell ref="J301:AR301"/>
    <mergeCell ref="L279:AR279"/>
    <mergeCell ref="L281:AR281"/>
    <mergeCell ref="J283:AR283"/>
    <mergeCell ref="J285:AR285"/>
    <mergeCell ref="L289:AR289"/>
    <mergeCell ref="J267:AR267"/>
    <mergeCell ref="J269:AR269"/>
    <mergeCell ref="L273:AR273"/>
    <mergeCell ref="L275:AR275"/>
    <mergeCell ref="L277:AR277"/>
    <mergeCell ref="L257:AR257"/>
    <mergeCell ref="L259:AR259"/>
    <mergeCell ref="L261:AR261"/>
    <mergeCell ref="L263:AR263"/>
    <mergeCell ref="L265:AR265"/>
    <mergeCell ref="J249:AR249"/>
    <mergeCell ref="A251:AR251"/>
    <mergeCell ref="AC252:AH252"/>
    <mergeCell ref="AJ252:AR252"/>
    <mergeCell ref="AJ253:AR253"/>
    <mergeCell ref="I237:AR237"/>
    <mergeCell ref="I239:AR239"/>
    <mergeCell ref="I241:AR241"/>
    <mergeCell ref="I243:AR243"/>
    <mergeCell ref="I245:AR245"/>
    <mergeCell ref="J247:AR247"/>
    <mergeCell ref="I227:AR227"/>
    <mergeCell ref="I229:AR229"/>
    <mergeCell ref="I231:AR231"/>
    <mergeCell ref="I233:AR233"/>
    <mergeCell ref="I235:AR235"/>
    <mergeCell ref="I212:AR212"/>
    <mergeCell ref="I214:AR214"/>
    <mergeCell ref="J220:AR220"/>
    <mergeCell ref="I216:AR216"/>
    <mergeCell ref="I218:AR218"/>
    <mergeCell ref="J222:AR222"/>
    <mergeCell ref="I200:AR200"/>
    <mergeCell ref="I202:AR202"/>
    <mergeCell ref="I204:AR204"/>
    <mergeCell ref="I206:AR206"/>
    <mergeCell ref="I208:AR208"/>
    <mergeCell ref="I210:AR210"/>
    <mergeCell ref="E189:I189"/>
    <mergeCell ref="J189:AR189"/>
    <mergeCell ref="I192:AR192"/>
    <mergeCell ref="I194:AR194"/>
    <mergeCell ref="I196:AR196"/>
    <mergeCell ref="I198:AR198"/>
    <mergeCell ref="I165:AR165"/>
    <mergeCell ref="I167:AR167"/>
    <mergeCell ref="I169:AR169"/>
    <mergeCell ref="D171:AR171"/>
    <mergeCell ref="J183:AR183"/>
    <mergeCell ref="J185:AR185"/>
    <mergeCell ref="I155:AR155"/>
    <mergeCell ref="I157:AR157"/>
    <mergeCell ref="I159:AR159"/>
    <mergeCell ref="I161:AR161"/>
    <mergeCell ref="I163:AR163"/>
    <mergeCell ref="I142:AR142"/>
    <mergeCell ref="I144:AR144"/>
    <mergeCell ref="I146:AR146"/>
    <mergeCell ref="J148:AR148"/>
    <mergeCell ref="J150:AR150"/>
    <mergeCell ref="I127:AR127"/>
    <mergeCell ref="I129:AR129"/>
    <mergeCell ref="I131:AR131"/>
    <mergeCell ref="I133:AR133"/>
    <mergeCell ref="J135:AR135"/>
    <mergeCell ref="J137:AR137"/>
    <mergeCell ref="I115:AR115"/>
    <mergeCell ref="I117:AR117"/>
    <mergeCell ref="I119:AR119"/>
    <mergeCell ref="I121:AR121"/>
    <mergeCell ref="I123:AR123"/>
    <mergeCell ref="I125:AR125"/>
    <mergeCell ref="I102:AR102"/>
    <mergeCell ref="I104:AR104"/>
    <mergeCell ref="I106:AR106"/>
    <mergeCell ref="J108:AR108"/>
    <mergeCell ref="J110:AR110"/>
    <mergeCell ref="I90:AR90"/>
    <mergeCell ref="I92:AR92"/>
    <mergeCell ref="I94:AR94"/>
    <mergeCell ref="I96:AR96"/>
    <mergeCell ref="I98:AR98"/>
    <mergeCell ref="I100:AR100"/>
    <mergeCell ref="I77:AR77"/>
    <mergeCell ref="I79:AR79"/>
    <mergeCell ref="J81:AR81"/>
    <mergeCell ref="J83:AR83"/>
    <mergeCell ref="I88:AR88"/>
    <mergeCell ref="P59:V59"/>
    <mergeCell ref="X59:AR59"/>
    <mergeCell ref="P45:V45"/>
    <mergeCell ref="P51:V51"/>
    <mergeCell ref="X51:AR51"/>
    <mergeCell ref="I69:AR69"/>
    <mergeCell ref="I71:AR71"/>
    <mergeCell ref="I73:AR73"/>
    <mergeCell ref="I75:AR75"/>
    <mergeCell ref="P61:V61"/>
    <mergeCell ref="X61:AR61"/>
    <mergeCell ref="A63:AR63"/>
    <mergeCell ref="AC64:AH64"/>
    <mergeCell ref="AJ64:AR64"/>
    <mergeCell ref="X39:AR39"/>
    <mergeCell ref="P41:V41"/>
    <mergeCell ref="X41:AR41"/>
    <mergeCell ref="P39:V39"/>
    <mergeCell ref="P57:V57"/>
    <mergeCell ref="X57:AR57"/>
    <mergeCell ref="AA45:AB45"/>
    <mergeCell ref="AI45:AJ45"/>
    <mergeCell ref="AP45:AQ45"/>
    <mergeCell ref="AE49:AH49"/>
    <mergeCell ref="P43:V43"/>
    <mergeCell ref="X43:AR43"/>
    <mergeCell ref="R53:S53"/>
    <mergeCell ref="X53:Y53"/>
    <mergeCell ref="AG53:AH53"/>
    <mergeCell ref="AQ53:AR53"/>
    <mergeCell ref="X55:AR55"/>
    <mergeCell ref="C12:R12"/>
    <mergeCell ref="AC12:AR12"/>
    <mergeCell ref="C14:K14"/>
    <mergeCell ref="X14:AE14"/>
    <mergeCell ref="AG14:AR14"/>
    <mergeCell ref="P35:V35"/>
    <mergeCell ref="X35:AR35"/>
    <mergeCell ref="P37:V37"/>
    <mergeCell ref="X37:AR37"/>
    <mergeCell ref="P29:V29"/>
    <mergeCell ref="X29:AR29"/>
    <mergeCell ref="P31:V31"/>
    <mergeCell ref="X31:AR31"/>
    <mergeCell ref="P33:V33"/>
    <mergeCell ref="X33:AR33"/>
    <mergeCell ref="C18:AR18"/>
    <mergeCell ref="C20:AR20"/>
    <mergeCell ref="C22:AR22"/>
    <mergeCell ref="C24:AR24"/>
    <mergeCell ref="AO3:AR3"/>
    <mergeCell ref="A26:AR26"/>
    <mergeCell ref="B1:AR2"/>
    <mergeCell ref="G4:AA4"/>
    <mergeCell ref="AC4:AE4"/>
    <mergeCell ref="AG4:AI4"/>
    <mergeCell ref="AJ4:AR4"/>
    <mergeCell ref="G6:AE6"/>
    <mergeCell ref="AG6:AI6"/>
    <mergeCell ref="G9:AE9"/>
    <mergeCell ref="AJ9:AR9"/>
    <mergeCell ref="G10:J10"/>
    <mergeCell ref="O10:AE10"/>
    <mergeCell ref="AG10:AI10"/>
    <mergeCell ref="AJ10:AR10"/>
    <mergeCell ref="AJ6:AR6"/>
    <mergeCell ref="G7:AE7"/>
    <mergeCell ref="AJ7:AR7"/>
    <mergeCell ref="G8:W8"/>
    <mergeCell ref="Z8:AE8"/>
    <mergeCell ref="AG8:AI8"/>
    <mergeCell ref="AJ8:AR8"/>
    <mergeCell ref="M14:V14"/>
    <mergeCell ref="A16:AR16"/>
  </mergeCells>
  <phoneticPr fontId="2" type="noConversion"/>
  <dataValidations count="6">
    <dataValidation type="list" allowBlank="1" showInputMessage="1" showErrorMessage="1" sqref="I65:M65 I62:M62">
      <formula1>list1b</formula1>
    </dataValidation>
    <dataValidation type="list" allowBlank="1" showInputMessage="1" showErrorMessage="1" sqref="P45:V46 P31:V31 P33:V33 P35:V35 P29:V29 P41:V43 P57:V58 P51:V51 P61:V61">
      <formula1>list2a</formula1>
    </dataValidation>
    <dataValidation type="list" allowBlank="1" showInputMessage="1" showErrorMessage="1" sqref="H26:L26 I25:M25">
      <formula1>list1c</formula1>
    </dataValidation>
    <dataValidation type="list" allowBlank="1" showInputMessage="1" showErrorMessage="1" sqref="P39:V39">
      <formula1>list4</formula1>
    </dataValidation>
    <dataValidation type="list" allowBlank="1" showInputMessage="1" showErrorMessage="1" sqref="P36">
      <formula1>list2</formula1>
    </dataValidation>
    <dataValidation type="list" allowBlank="1" showInputMessage="1" showErrorMessage="1" sqref="P37:V37">
      <formula1>list3b</formula1>
    </dataValidation>
  </dataValidations>
  <hyperlinks>
    <hyperlink ref="AC354:AH354" location="WC!A1" display="GO TO TOP"/>
    <hyperlink ref="AC438:AH438" location="WC!A1" display="GO TO TOP"/>
    <hyperlink ref="AC252:AH252" location="WC!A1" display="GO TO TOP"/>
    <hyperlink ref="AJ354:AR354" location="WCmanagement" display="UP ONE SECTION"/>
    <hyperlink ref="AJ438:AR438" location="WCtraining" display="UP ONE SECTION"/>
    <hyperlink ref="AJ355:AR355" location="WCreporting" display="DOWN ONE SECTION"/>
    <hyperlink ref="AJ439:AR439" location="WCclaims" display="DOWN ONE SECTION"/>
    <hyperlink ref="AC64:AH64" location="WC!A1" display="GO TO TOP"/>
    <hyperlink ref="C12:O12" location="ARA!AS44" display="GO TO EXPOSURES &amp; CONTROLS"/>
    <hyperlink ref="M14:U14" location="ARA!AS524" display="GO TO REPORTING"/>
    <hyperlink ref="AJ64" location="ARA!AS210" display="DOWN ONE SECTION"/>
    <hyperlink ref="AJ252" location="ARA!AS44" display="UP ONE SECTION"/>
    <hyperlink ref="AJ253:AR253" location="WCtraining" display="DOWN ONE SECTION"/>
    <hyperlink ref="AJ252:AR252" location="WCexposures" display="UP ONE SECTION"/>
    <hyperlink ref="AJ64:AR64" location="WCmanagement" display="DOWN ONE SECTION"/>
    <hyperlink ref="C12:P12" location="ARA!AS68" display="GO TO EXPOSURES &amp; CONTROLS"/>
    <hyperlink ref="AC12:AR12" location="WCmanagement" display="GO TO MANAGEMENT CONTROLS"/>
    <hyperlink ref="C12:R12" location="WCexposures" display="GO TO EXPOSURES &amp; CONTROLS"/>
    <hyperlink ref="M14:V14" location="WCreporting" display="GO TO REPORTING"/>
    <hyperlink ref="C14:K14" location="WCtraining" display="GO TO TRAINING"/>
    <hyperlink ref="X14:AE14" location="WCclaims" display="GO TO CLAIMS"/>
    <hyperlink ref="AG14:AR14" location="ARA!A1" display="RETURN TO GL ASSESSMENT"/>
  </hyperlinks>
  <pageMargins left="0.22" right="0.25" top="1" bottom="1" header="0.25" footer="0.5"/>
  <pageSetup scale="93" orientation="portrait"/>
  <headerFooter alignWithMargins="0">
    <oddFooter>&amp;L 2009 ARA - ver. 7.0 - 9/30/09&amp;Cname - page &amp;P of &amp;N&amp;Rdocument modified xx/xx/xx</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8283" r:id="rId3" name="Group Box 91">
              <controlPr defaultSize="0" autoFill="0" autoPict="0">
                <anchor moveWithCells="1">
                  <from>
                    <xdr:col>2</xdr:col>
                    <xdr:colOff>87086</xdr:colOff>
                    <xdr:row>254</xdr:row>
                    <xdr:rowOff>65314</xdr:rowOff>
                  </from>
                  <to>
                    <xdr:col>10</xdr:col>
                    <xdr:colOff>179614</xdr:colOff>
                    <xdr:row>265</xdr:row>
                    <xdr:rowOff>65314</xdr:rowOff>
                  </to>
                </anchor>
              </controlPr>
            </control>
          </mc:Choice>
        </mc:AlternateContent>
        <mc:AlternateContent xmlns:mc="http://schemas.openxmlformats.org/markup-compatibility/2006">
          <mc:Choice Requires="x14">
            <control shapeId="8285" r:id="rId4" name="Option Button 93">
              <controlPr defaultSize="0" autoFill="0" autoLine="0" autoPict="0">
                <anchor moveWithCells="1">
                  <from>
                    <xdr:col>2</xdr:col>
                    <xdr:colOff>179614</xdr:colOff>
                    <xdr:row>255</xdr:row>
                    <xdr:rowOff>48986</xdr:rowOff>
                  </from>
                  <to>
                    <xdr:col>10</xdr:col>
                    <xdr:colOff>103414</xdr:colOff>
                    <xdr:row>257</xdr:row>
                    <xdr:rowOff>38100</xdr:rowOff>
                  </to>
                </anchor>
              </controlPr>
            </control>
          </mc:Choice>
        </mc:AlternateContent>
        <mc:AlternateContent xmlns:mc="http://schemas.openxmlformats.org/markup-compatibility/2006">
          <mc:Choice Requires="x14">
            <control shapeId="8286" r:id="rId5" name="Option Button 94">
              <controlPr defaultSize="0" autoFill="0" autoLine="0" autoPict="0">
                <anchor moveWithCells="1">
                  <from>
                    <xdr:col>2</xdr:col>
                    <xdr:colOff>179614</xdr:colOff>
                    <xdr:row>257</xdr:row>
                    <xdr:rowOff>65314</xdr:rowOff>
                  </from>
                  <to>
                    <xdr:col>10</xdr:col>
                    <xdr:colOff>38100</xdr:colOff>
                    <xdr:row>259</xdr:row>
                    <xdr:rowOff>38100</xdr:rowOff>
                  </to>
                </anchor>
              </controlPr>
            </control>
          </mc:Choice>
        </mc:AlternateContent>
        <mc:AlternateContent xmlns:mc="http://schemas.openxmlformats.org/markup-compatibility/2006">
          <mc:Choice Requires="x14">
            <control shapeId="8287" r:id="rId6" name="Option Button 95">
              <controlPr defaultSize="0" autoFill="0" autoLine="0" autoPict="0">
                <anchor moveWithCells="1">
                  <from>
                    <xdr:col>2</xdr:col>
                    <xdr:colOff>179614</xdr:colOff>
                    <xdr:row>259</xdr:row>
                    <xdr:rowOff>48986</xdr:rowOff>
                  </from>
                  <to>
                    <xdr:col>9</xdr:col>
                    <xdr:colOff>76200</xdr:colOff>
                    <xdr:row>260</xdr:row>
                    <xdr:rowOff>255814</xdr:rowOff>
                  </to>
                </anchor>
              </controlPr>
            </control>
          </mc:Choice>
        </mc:AlternateContent>
        <mc:AlternateContent xmlns:mc="http://schemas.openxmlformats.org/markup-compatibility/2006">
          <mc:Choice Requires="x14">
            <control shapeId="8288" r:id="rId7" name="Option Button 96">
              <controlPr defaultSize="0" autoFill="0" autoLine="0" autoPict="0">
                <anchor moveWithCells="1">
                  <from>
                    <xdr:col>2</xdr:col>
                    <xdr:colOff>179614</xdr:colOff>
                    <xdr:row>261</xdr:row>
                    <xdr:rowOff>48986</xdr:rowOff>
                  </from>
                  <to>
                    <xdr:col>9</xdr:col>
                    <xdr:colOff>76200</xdr:colOff>
                    <xdr:row>263</xdr:row>
                    <xdr:rowOff>38100</xdr:rowOff>
                  </to>
                </anchor>
              </controlPr>
            </control>
          </mc:Choice>
        </mc:AlternateContent>
        <mc:AlternateContent xmlns:mc="http://schemas.openxmlformats.org/markup-compatibility/2006">
          <mc:Choice Requires="x14">
            <control shapeId="8291" r:id="rId8" name="Option Button 99">
              <controlPr defaultSize="0" autoFill="0" autoLine="0" autoPict="0">
                <anchor moveWithCells="1">
                  <from>
                    <xdr:col>2</xdr:col>
                    <xdr:colOff>179614</xdr:colOff>
                    <xdr:row>263</xdr:row>
                    <xdr:rowOff>48986</xdr:rowOff>
                  </from>
                  <to>
                    <xdr:col>10</xdr:col>
                    <xdr:colOff>27214</xdr:colOff>
                    <xdr:row>264</xdr:row>
                    <xdr:rowOff>266700</xdr:rowOff>
                  </to>
                </anchor>
              </controlPr>
            </control>
          </mc:Choice>
        </mc:AlternateContent>
        <mc:AlternateContent xmlns:mc="http://schemas.openxmlformats.org/markup-compatibility/2006">
          <mc:Choice Requires="x14">
            <control shapeId="8293" r:id="rId9" name="Group Box 101">
              <controlPr defaultSize="0" autoFill="0" autoPict="0">
                <anchor moveWithCells="1">
                  <from>
                    <xdr:col>2</xdr:col>
                    <xdr:colOff>152400</xdr:colOff>
                    <xdr:row>271</xdr:row>
                    <xdr:rowOff>10886</xdr:rowOff>
                  </from>
                  <to>
                    <xdr:col>10</xdr:col>
                    <xdr:colOff>103414</xdr:colOff>
                    <xdr:row>282</xdr:row>
                    <xdr:rowOff>0</xdr:rowOff>
                  </to>
                </anchor>
              </controlPr>
            </control>
          </mc:Choice>
        </mc:AlternateContent>
        <mc:AlternateContent xmlns:mc="http://schemas.openxmlformats.org/markup-compatibility/2006">
          <mc:Choice Requires="x14">
            <control shapeId="8294" r:id="rId10" name="Option Button 102">
              <controlPr defaultSize="0" autoFill="0" autoLine="0" autoPict="0">
                <anchor moveWithCells="1">
                  <from>
                    <xdr:col>2</xdr:col>
                    <xdr:colOff>179614</xdr:colOff>
                    <xdr:row>271</xdr:row>
                    <xdr:rowOff>65314</xdr:rowOff>
                  </from>
                  <to>
                    <xdr:col>10</xdr:col>
                    <xdr:colOff>103414</xdr:colOff>
                    <xdr:row>272</xdr:row>
                    <xdr:rowOff>266700</xdr:rowOff>
                  </to>
                </anchor>
              </controlPr>
            </control>
          </mc:Choice>
        </mc:AlternateContent>
        <mc:AlternateContent xmlns:mc="http://schemas.openxmlformats.org/markup-compatibility/2006">
          <mc:Choice Requires="x14">
            <control shapeId="8295" r:id="rId11" name="Option Button 103">
              <controlPr defaultSize="0" autoFill="0" autoLine="0" autoPict="0">
                <anchor moveWithCells="1">
                  <from>
                    <xdr:col>2</xdr:col>
                    <xdr:colOff>179614</xdr:colOff>
                    <xdr:row>273</xdr:row>
                    <xdr:rowOff>65314</xdr:rowOff>
                  </from>
                  <to>
                    <xdr:col>10</xdr:col>
                    <xdr:colOff>48986</xdr:colOff>
                    <xdr:row>274</xdr:row>
                    <xdr:rowOff>277586</xdr:rowOff>
                  </to>
                </anchor>
              </controlPr>
            </control>
          </mc:Choice>
        </mc:AlternateContent>
        <mc:AlternateContent xmlns:mc="http://schemas.openxmlformats.org/markup-compatibility/2006">
          <mc:Choice Requires="x14">
            <control shapeId="8296" r:id="rId12" name="Option Button 104">
              <controlPr defaultSize="0" autoFill="0" autoLine="0" autoPict="0">
                <anchor moveWithCells="1">
                  <from>
                    <xdr:col>2</xdr:col>
                    <xdr:colOff>179614</xdr:colOff>
                    <xdr:row>275</xdr:row>
                    <xdr:rowOff>48986</xdr:rowOff>
                  </from>
                  <to>
                    <xdr:col>9</xdr:col>
                    <xdr:colOff>76200</xdr:colOff>
                    <xdr:row>276</xdr:row>
                    <xdr:rowOff>255814</xdr:rowOff>
                  </to>
                </anchor>
              </controlPr>
            </control>
          </mc:Choice>
        </mc:AlternateContent>
        <mc:AlternateContent xmlns:mc="http://schemas.openxmlformats.org/markup-compatibility/2006">
          <mc:Choice Requires="x14">
            <control shapeId="8297" r:id="rId13" name="Option Button 105">
              <controlPr defaultSize="0" autoFill="0" autoLine="0" autoPict="0">
                <anchor moveWithCells="1">
                  <from>
                    <xdr:col>2</xdr:col>
                    <xdr:colOff>179614</xdr:colOff>
                    <xdr:row>277</xdr:row>
                    <xdr:rowOff>48986</xdr:rowOff>
                  </from>
                  <to>
                    <xdr:col>9</xdr:col>
                    <xdr:colOff>76200</xdr:colOff>
                    <xdr:row>279</xdr:row>
                    <xdr:rowOff>48986</xdr:rowOff>
                  </to>
                </anchor>
              </controlPr>
            </control>
          </mc:Choice>
        </mc:AlternateContent>
        <mc:AlternateContent xmlns:mc="http://schemas.openxmlformats.org/markup-compatibility/2006">
          <mc:Choice Requires="x14">
            <control shapeId="8298" r:id="rId14" name="Option Button 106">
              <controlPr defaultSize="0" autoFill="0" autoLine="0" autoPict="0">
                <anchor moveWithCells="1">
                  <from>
                    <xdr:col>2</xdr:col>
                    <xdr:colOff>179614</xdr:colOff>
                    <xdr:row>280</xdr:row>
                    <xdr:rowOff>27214</xdr:rowOff>
                  </from>
                  <to>
                    <xdr:col>10</xdr:col>
                    <xdr:colOff>27214</xdr:colOff>
                    <xdr:row>280</xdr:row>
                    <xdr:rowOff>332014</xdr:rowOff>
                  </to>
                </anchor>
              </controlPr>
            </control>
          </mc:Choice>
        </mc:AlternateContent>
        <mc:AlternateContent xmlns:mc="http://schemas.openxmlformats.org/markup-compatibility/2006">
          <mc:Choice Requires="x14">
            <control shapeId="8299" r:id="rId15" name="Group Box 107">
              <controlPr defaultSize="0" autoFill="0" autoPict="0">
                <anchor moveWithCells="1">
                  <from>
                    <xdr:col>2</xdr:col>
                    <xdr:colOff>152400</xdr:colOff>
                    <xdr:row>287</xdr:row>
                    <xdr:rowOff>0</xdr:rowOff>
                  </from>
                  <to>
                    <xdr:col>10</xdr:col>
                    <xdr:colOff>103414</xdr:colOff>
                    <xdr:row>298</xdr:row>
                    <xdr:rowOff>0</xdr:rowOff>
                  </to>
                </anchor>
              </controlPr>
            </control>
          </mc:Choice>
        </mc:AlternateContent>
        <mc:AlternateContent xmlns:mc="http://schemas.openxmlformats.org/markup-compatibility/2006">
          <mc:Choice Requires="x14">
            <control shapeId="8300" r:id="rId16" name="Option Button 108">
              <controlPr defaultSize="0" autoFill="0" autoLine="0" autoPict="0">
                <anchor moveWithCells="1">
                  <from>
                    <xdr:col>2</xdr:col>
                    <xdr:colOff>179614</xdr:colOff>
                    <xdr:row>287</xdr:row>
                    <xdr:rowOff>65314</xdr:rowOff>
                  </from>
                  <to>
                    <xdr:col>10</xdr:col>
                    <xdr:colOff>103414</xdr:colOff>
                    <xdr:row>289</xdr:row>
                    <xdr:rowOff>48986</xdr:rowOff>
                  </to>
                </anchor>
              </controlPr>
            </control>
          </mc:Choice>
        </mc:AlternateContent>
        <mc:AlternateContent xmlns:mc="http://schemas.openxmlformats.org/markup-compatibility/2006">
          <mc:Choice Requires="x14">
            <control shapeId="8301" r:id="rId17" name="Option Button 109">
              <controlPr defaultSize="0" autoFill="0" autoLine="0" autoPict="0">
                <anchor moveWithCells="1">
                  <from>
                    <xdr:col>2</xdr:col>
                    <xdr:colOff>179614</xdr:colOff>
                    <xdr:row>289</xdr:row>
                    <xdr:rowOff>65314</xdr:rowOff>
                  </from>
                  <to>
                    <xdr:col>10</xdr:col>
                    <xdr:colOff>48986</xdr:colOff>
                    <xdr:row>290</xdr:row>
                    <xdr:rowOff>293914</xdr:rowOff>
                  </to>
                </anchor>
              </controlPr>
            </control>
          </mc:Choice>
        </mc:AlternateContent>
        <mc:AlternateContent xmlns:mc="http://schemas.openxmlformats.org/markup-compatibility/2006">
          <mc:Choice Requires="x14">
            <control shapeId="8302" r:id="rId18" name="Option Button 110">
              <controlPr defaultSize="0" autoFill="0" autoLine="0" autoPict="0">
                <anchor moveWithCells="1">
                  <from>
                    <xdr:col>2</xdr:col>
                    <xdr:colOff>179614</xdr:colOff>
                    <xdr:row>291</xdr:row>
                    <xdr:rowOff>48986</xdr:rowOff>
                  </from>
                  <to>
                    <xdr:col>9</xdr:col>
                    <xdr:colOff>76200</xdr:colOff>
                    <xdr:row>293</xdr:row>
                    <xdr:rowOff>48986</xdr:rowOff>
                  </to>
                </anchor>
              </controlPr>
            </control>
          </mc:Choice>
        </mc:AlternateContent>
        <mc:AlternateContent xmlns:mc="http://schemas.openxmlformats.org/markup-compatibility/2006">
          <mc:Choice Requires="x14">
            <control shapeId="8303" r:id="rId19" name="Option Button 111">
              <controlPr defaultSize="0" autoFill="0" autoLine="0" autoPict="0">
                <anchor moveWithCells="1">
                  <from>
                    <xdr:col>2</xdr:col>
                    <xdr:colOff>179614</xdr:colOff>
                    <xdr:row>293</xdr:row>
                    <xdr:rowOff>48986</xdr:rowOff>
                  </from>
                  <to>
                    <xdr:col>9</xdr:col>
                    <xdr:colOff>76200</xdr:colOff>
                    <xdr:row>294</xdr:row>
                    <xdr:rowOff>277586</xdr:rowOff>
                  </to>
                </anchor>
              </controlPr>
            </control>
          </mc:Choice>
        </mc:AlternateContent>
        <mc:AlternateContent xmlns:mc="http://schemas.openxmlformats.org/markup-compatibility/2006">
          <mc:Choice Requires="x14">
            <control shapeId="8304" r:id="rId20" name="Option Button 112">
              <controlPr defaultSize="0" autoFill="0" autoLine="0" autoPict="0">
                <anchor moveWithCells="1">
                  <from>
                    <xdr:col>2</xdr:col>
                    <xdr:colOff>179614</xdr:colOff>
                    <xdr:row>295</xdr:row>
                    <xdr:rowOff>48986</xdr:rowOff>
                  </from>
                  <to>
                    <xdr:col>10</xdr:col>
                    <xdr:colOff>27214</xdr:colOff>
                    <xdr:row>297</xdr:row>
                    <xdr:rowOff>48986</xdr:rowOff>
                  </to>
                </anchor>
              </controlPr>
            </control>
          </mc:Choice>
        </mc:AlternateContent>
        <mc:AlternateContent xmlns:mc="http://schemas.openxmlformats.org/markup-compatibility/2006">
          <mc:Choice Requires="x14">
            <control shapeId="8305" r:id="rId21" name="Group Box 113">
              <controlPr defaultSize="0" autoFill="0" autoPict="0">
                <anchor moveWithCells="1">
                  <from>
                    <xdr:col>2</xdr:col>
                    <xdr:colOff>152400</xdr:colOff>
                    <xdr:row>303</xdr:row>
                    <xdr:rowOff>10886</xdr:rowOff>
                  </from>
                  <to>
                    <xdr:col>10</xdr:col>
                    <xdr:colOff>103414</xdr:colOff>
                    <xdr:row>314</xdr:row>
                    <xdr:rowOff>0</xdr:rowOff>
                  </to>
                </anchor>
              </controlPr>
            </control>
          </mc:Choice>
        </mc:AlternateContent>
        <mc:AlternateContent xmlns:mc="http://schemas.openxmlformats.org/markup-compatibility/2006">
          <mc:Choice Requires="x14">
            <control shapeId="8306" r:id="rId22" name="Option Button 114">
              <controlPr defaultSize="0" autoFill="0" autoLine="0" autoPict="0">
                <anchor moveWithCells="1">
                  <from>
                    <xdr:col>2</xdr:col>
                    <xdr:colOff>179614</xdr:colOff>
                    <xdr:row>303</xdr:row>
                    <xdr:rowOff>65314</xdr:rowOff>
                  </from>
                  <to>
                    <xdr:col>10</xdr:col>
                    <xdr:colOff>103414</xdr:colOff>
                    <xdr:row>304</xdr:row>
                    <xdr:rowOff>277586</xdr:rowOff>
                  </to>
                </anchor>
              </controlPr>
            </control>
          </mc:Choice>
        </mc:AlternateContent>
        <mc:AlternateContent xmlns:mc="http://schemas.openxmlformats.org/markup-compatibility/2006">
          <mc:Choice Requires="x14">
            <control shapeId="8307" r:id="rId23" name="Option Button 115">
              <controlPr defaultSize="0" autoFill="0" autoLine="0" autoPict="0">
                <anchor moveWithCells="1">
                  <from>
                    <xdr:col>2</xdr:col>
                    <xdr:colOff>179614</xdr:colOff>
                    <xdr:row>305</xdr:row>
                    <xdr:rowOff>65314</xdr:rowOff>
                  </from>
                  <to>
                    <xdr:col>10</xdr:col>
                    <xdr:colOff>48986</xdr:colOff>
                    <xdr:row>307</xdr:row>
                    <xdr:rowOff>65314</xdr:rowOff>
                  </to>
                </anchor>
              </controlPr>
            </control>
          </mc:Choice>
        </mc:AlternateContent>
        <mc:AlternateContent xmlns:mc="http://schemas.openxmlformats.org/markup-compatibility/2006">
          <mc:Choice Requires="x14">
            <control shapeId="8308" r:id="rId24" name="Option Button 116">
              <controlPr defaultSize="0" autoFill="0" autoLine="0" autoPict="0">
                <anchor moveWithCells="1">
                  <from>
                    <xdr:col>2</xdr:col>
                    <xdr:colOff>179614</xdr:colOff>
                    <xdr:row>307</xdr:row>
                    <xdr:rowOff>48986</xdr:rowOff>
                  </from>
                  <to>
                    <xdr:col>9</xdr:col>
                    <xdr:colOff>76200</xdr:colOff>
                    <xdr:row>308</xdr:row>
                    <xdr:rowOff>266700</xdr:rowOff>
                  </to>
                </anchor>
              </controlPr>
            </control>
          </mc:Choice>
        </mc:AlternateContent>
        <mc:AlternateContent xmlns:mc="http://schemas.openxmlformats.org/markup-compatibility/2006">
          <mc:Choice Requires="x14">
            <control shapeId="8309" r:id="rId25" name="Option Button 117">
              <controlPr defaultSize="0" autoFill="0" autoLine="0" autoPict="0">
                <anchor moveWithCells="1">
                  <from>
                    <xdr:col>2</xdr:col>
                    <xdr:colOff>179614</xdr:colOff>
                    <xdr:row>309</xdr:row>
                    <xdr:rowOff>48986</xdr:rowOff>
                  </from>
                  <to>
                    <xdr:col>9</xdr:col>
                    <xdr:colOff>76200</xdr:colOff>
                    <xdr:row>311</xdr:row>
                    <xdr:rowOff>48986</xdr:rowOff>
                  </to>
                </anchor>
              </controlPr>
            </control>
          </mc:Choice>
        </mc:AlternateContent>
        <mc:AlternateContent xmlns:mc="http://schemas.openxmlformats.org/markup-compatibility/2006">
          <mc:Choice Requires="x14">
            <control shapeId="8310" r:id="rId26" name="Option Button 118">
              <controlPr defaultSize="0" autoFill="0" autoLine="0" autoPict="0">
                <anchor moveWithCells="1">
                  <from>
                    <xdr:col>2</xdr:col>
                    <xdr:colOff>179614</xdr:colOff>
                    <xdr:row>311</xdr:row>
                    <xdr:rowOff>48986</xdr:rowOff>
                  </from>
                  <to>
                    <xdr:col>10</xdr:col>
                    <xdr:colOff>27214</xdr:colOff>
                    <xdr:row>313</xdr:row>
                    <xdr:rowOff>48986</xdr:rowOff>
                  </to>
                </anchor>
              </controlPr>
            </control>
          </mc:Choice>
        </mc:AlternateContent>
        <mc:AlternateContent xmlns:mc="http://schemas.openxmlformats.org/markup-compatibility/2006">
          <mc:Choice Requires="x14">
            <control shapeId="8311" r:id="rId27" name="Group Box 119">
              <controlPr defaultSize="0" autoFill="0" autoPict="0">
                <anchor moveWithCells="1">
                  <from>
                    <xdr:col>2</xdr:col>
                    <xdr:colOff>152400</xdr:colOff>
                    <xdr:row>319</xdr:row>
                    <xdr:rowOff>10886</xdr:rowOff>
                  </from>
                  <to>
                    <xdr:col>10</xdr:col>
                    <xdr:colOff>103414</xdr:colOff>
                    <xdr:row>329</xdr:row>
                    <xdr:rowOff>65314</xdr:rowOff>
                  </to>
                </anchor>
              </controlPr>
            </control>
          </mc:Choice>
        </mc:AlternateContent>
        <mc:AlternateContent xmlns:mc="http://schemas.openxmlformats.org/markup-compatibility/2006">
          <mc:Choice Requires="x14">
            <control shapeId="8312" r:id="rId28" name="Option Button 120">
              <controlPr defaultSize="0" autoFill="0" autoLine="0" autoPict="0">
                <anchor moveWithCells="1">
                  <from>
                    <xdr:col>2</xdr:col>
                    <xdr:colOff>179614</xdr:colOff>
                    <xdr:row>319</xdr:row>
                    <xdr:rowOff>65314</xdr:rowOff>
                  </from>
                  <to>
                    <xdr:col>10</xdr:col>
                    <xdr:colOff>103414</xdr:colOff>
                    <xdr:row>320</xdr:row>
                    <xdr:rowOff>277586</xdr:rowOff>
                  </to>
                </anchor>
              </controlPr>
            </control>
          </mc:Choice>
        </mc:AlternateContent>
        <mc:AlternateContent xmlns:mc="http://schemas.openxmlformats.org/markup-compatibility/2006">
          <mc:Choice Requires="x14">
            <control shapeId="8313" r:id="rId29" name="Option Button 121">
              <controlPr defaultSize="0" autoFill="0" autoLine="0" autoPict="0">
                <anchor moveWithCells="1">
                  <from>
                    <xdr:col>2</xdr:col>
                    <xdr:colOff>179614</xdr:colOff>
                    <xdr:row>321</xdr:row>
                    <xdr:rowOff>65314</xdr:rowOff>
                  </from>
                  <to>
                    <xdr:col>10</xdr:col>
                    <xdr:colOff>48986</xdr:colOff>
                    <xdr:row>322</xdr:row>
                    <xdr:rowOff>293914</xdr:rowOff>
                  </to>
                </anchor>
              </controlPr>
            </control>
          </mc:Choice>
        </mc:AlternateContent>
        <mc:AlternateContent xmlns:mc="http://schemas.openxmlformats.org/markup-compatibility/2006">
          <mc:Choice Requires="x14">
            <control shapeId="8314" r:id="rId30" name="Option Button 122">
              <controlPr defaultSize="0" autoFill="0" autoLine="0" autoPict="0">
                <anchor moveWithCells="1">
                  <from>
                    <xdr:col>2</xdr:col>
                    <xdr:colOff>179614</xdr:colOff>
                    <xdr:row>323</xdr:row>
                    <xdr:rowOff>48986</xdr:rowOff>
                  </from>
                  <to>
                    <xdr:col>9</xdr:col>
                    <xdr:colOff>76200</xdr:colOff>
                    <xdr:row>324</xdr:row>
                    <xdr:rowOff>266700</xdr:rowOff>
                  </to>
                </anchor>
              </controlPr>
            </control>
          </mc:Choice>
        </mc:AlternateContent>
        <mc:AlternateContent xmlns:mc="http://schemas.openxmlformats.org/markup-compatibility/2006">
          <mc:Choice Requires="x14">
            <control shapeId="8315" r:id="rId31" name="Option Button 123">
              <controlPr defaultSize="0" autoFill="0" autoLine="0" autoPict="0">
                <anchor moveWithCells="1">
                  <from>
                    <xdr:col>2</xdr:col>
                    <xdr:colOff>179614</xdr:colOff>
                    <xdr:row>325</xdr:row>
                    <xdr:rowOff>48986</xdr:rowOff>
                  </from>
                  <to>
                    <xdr:col>9</xdr:col>
                    <xdr:colOff>76200</xdr:colOff>
                    <xdr:row>327</xdr:row>
                    <xdr:rowOff>48986</xdr:rowOff>
                  </to>
                </anchor>
              </controlPr>
            </control>
          </mc:Choice>
        </mc:AlternateContent>
        <mc:AlternateContent xmlns:mc="http://schemas.openxmlformats.org/markup-compatibility/2006">
          <mc:Choice Requires="x14">
            <control shapeId="8316" r:id="rId32" name="Option Button 124">
              <controlPr defaultSize="0" autoFill="0" autoLine="0" autoPict="0">
                <anchor moveWithCells="1">
                  <from>
                    <xdr:col>2</xdr:col>
                    <xdr:colOff>179614</xdr:colOff>
                    <xdr:row>327</xdr:row>
                    <xdr:rowOff>48986</xdr:rowOff>
                  </from>
                  <to>
                    <xdr:col>10</xdr:col>
                    <xdr:colOff>27214</xdr:colOff>
                    <xdr:row>329</xdr:row>
                    <xdr:rowOff>48986</xdr:rowOff>
                  </to>
                </anchor>
              </controlPr>
            </control>
          </mc:Choice>
        </mc:AlternateContent>
        <mc:AlternateContent xmlns:mc="http://schemas.openxmlformats.org/markup-compatibility/2006">
          <mc:Choice Requires="x14">
            <control shapeId="8317" r:id="rId33" name="Group Box 125">
              <controlPr defaultSize="0" autoFill="0" autoPict="0">
                <anchor moveWithCells="1">
                  <from>
                    <xdr:col>2</xdr:col>
                    <xdr:colOff>152400</xdr:colOff>
                    <xdr:row>335</xdr:row>
                    <xdr:rowOff>48986</xdr:rowOff>
                  </from>
                  <to>
                    <xdr:col>10</xdr:col>
                    <xdr:colOff>103414</xdr:colOff>
                    <xdr:row>347</xdr:row>
                    <xdr:rowOff>65314</xdr:rowOff>
                  </to>
                </anchor>
              </controlPr>
            </control>
          </mc:Choice>
        </mc:AlternateContent>
        <mc:AlternateContent xmlns:mc="http://schemas.openxmlformats.org/markup-compatibility/2006">
          <mc:Choice Requires="x14">
            <control shapeId="8318" r:id="rId34" name="Option Button 126">
              <controlPr defaultSize="0" autoFill="0" autoLine="0" autoPict="0">
                <anchor moveWithCells="1">
                  <from>
                    <xdr:col>2</xdr:col>
                    <xdr:colOff>179614</xdr:colOff>
                    <xdr:row>337</xdr:row>
                    <xdr:rowOff>48986</xdr:rowOff>
                  </from>
                  <to>
                    <xdr:col>10</xdr:col>
                    <xdr:colOff>103414</xdr:colOff>
                    <xdr:row>339</xdr:row>
                    <xdr:rowOff>38100</xdr:rowOff>
                  </to>
                </anchor>
              </controlPr>
            </control>
          </mc:Choice>
        </mc:AlternateContent>
        <mc:AlternateContent xmlns:mc="http://schemas.openxmlformats.org/markup-compatibility/2006">
          <mc:Choice Requires="x14">
            <control shapeId="8319" r:id="rId35" name="Option Button 127">
              <controlPr defaultSize="0" autoFill="0" autoLine="0" autoPict="0">
                <anchor moveWithCells="1">
                  <from>
                    <xdr:col>2</xdr:col>
                    <xdr:colOff>179614</xdr:colOff>
                    <xdr:row>339</xdr:row>
                    <xdr:rowOff>27214</xdr:rowOff>
                  </from>
                  <to>
                    <xdr:col>10</xdr:col>
                    <xdr:colOff>48986</xdr:colOff>
                    <xdr:row>341</xdr:row>
                    <xdr:rowOff>38100</xdr:rowOff>
                  </to>
                </anchor>
              </controlPr>
            </control>
          </mc:Choice>
        </mc:AlternateContent>
        <mc:AlternateContent xmlns:mc="http://schemas.openxmlformats.org/markup-compatibility/2006">
          <mc:Choice Requires="x14">
            <control shapeId="8320" r:id="rId36" name="Option Button 128">
              <controlPr defaultSize="0" autoFill="0" autoLine="0" autoPict="0">
                <anchor moveWithCells="1">
                  <from>
                    <xdr:col>2</xdr:col>
                    <xdr:colOff>179614</xdr:colOff>
                    <xdr:row>341</xdr:row>
                    <xdr:rowOff>48986</xdr:rowOff>
                  </from>
                  <to>
                    <xdr:col>9</xdr:col>
                    <xdr:colOff>76200</xdr:colOff>
                    <xdr:row>342</xdr:row>
                    <xdr:rowOff>266700</xdr:rowOff>
                  </to>
                </anchor>
              </controlPr>
            </control>
          </mc:Choice>
        </mc:AlternateContent>
        <mc:AlternateContent xmlns:mc="http://schemas.openxmlformats.org/markup-compatibility/2006">
          <mc:Choice Requires="x14">
            <control shapeId="8321" r:id="rId37" name="Option Button 129">
              <controlPr defaultSize="0" autoFill="0" autoLine="0" autoPict="0">
                <anchor moveWithCells="1">
                  <from>
                    <xdr:col>2</xdr:col>
                    <xdr:colOff>179614</xdr:colOff>
                    <xdr:row>343</xdr:row>
                    <xdr:rowOff>48986</xdr:rowOff>
                  </from>
                  <to>
                    <xdr:col>9</xdr:col>
                    <xdr:colOff>76200</xdr:colOff>
                    <xdr:row>344</xdr:row>
                    <xdr:rowOff>277586</xdr:rowOff>
                  </to>
                </anchor>
              </controlPr>
            </control>
          </mc:Choice>
        </mc:AlternateContent>
        <mc:AlternateContent xmlns:mc="http://schemas.openxmlformats.org/markup-compatibility/2006">
          <mc:Choice Requires="x14">
            <control shapeId="8322" r:id="rId38" name="Option Button 130">
              <controlPr defaultSize="0" autoFill="0" autoLine="0" autoPict="0">
                <anchor moveWithCells="1">
                  <from>
                    <xdr:col>2</xdr:col>
                    <xdr:colOff>179614</xdr:colOff>
                    <xdr:row>345</xdr:row>
                    <xdr:rowOff>10886</xdr:rowOff>
                  </from>
                  <to>
                    <xdr:col>10</xdr:col>
                    <xdr:colOff>27214</xdr:colOff>
                    <xdr:row>346</xdr:row>
                    <xdr:rowOff>239486</xdr:rowOff>
                  </to>
                </anchor>
              </controlPr>
            </control>
          </mc:Choice>
        </mc:AlternateContent>
        <mc:AlternateContent xmlns:mc="http://schemas.openxmlformats.org/markup-compatibility/2006">
          <mc:Choice Requires="x14">
            <control shapeId="8323" r:id="rId39" name="Option Button 131">
              <controlPr defaultSize="0" autoFill="0" autoLine="0" autoPict="0">
                <anchor moveWithCells="1">
                  <from>
                    <xdr:col>2</xdr:col>
                    <xdr:colOff>179614</xdr:colOff>
                    <xdr:row>335</xdr:row>
                    <xdr:rowOff>48986</xdr:rowOff>
                  </from>
                  <to>
                    <xdr:col>10</xdr:col>
                    <xdr:colOff>48986</xdr:colOff>
                    <xdr:row>337</xdr:row>
                    <xdr:rowOff>38100</xdr:rowOff>
                  </to>
                </anchor>
              </controlPr>
            </control>
          </mc:Choice>
        </mc:AlternateContent>
        <mc:AlternateContent xmlns:mc="http://schemas.openxmlformats.org/markup-compatibility/2006">
          <mc:Choice Requires="x14">
            <control shapeId="8324" r:id="rId40" name="Group Box 132">
              <controlPr defaultSize="0" autoFill="0" autoPict="0">
                <anchor moveWithCells="1">
                  <from>
                    <xdr:col>2</xdr:col>
                    <xdr:colOff>152400</xdr:colOff>
                    <xdr:row>357</xdr:row>
                    <xdr:rowOff>10886</xdr:rowOff>
                  </from>
                  <to>
                    <xdr:col>10</xdr:col>
                    <xdr:colOff>103414</xdr:colOff>
                    <xdr:row>368</xdr:row>
                    <xdr:rowOff>0</xdr:rowOff>
                  </to>
                </anchor>
              </controlPr>
            </control>
          </mc:Choice>
        </mc:AlternateContent>
        <mc:AlternateContent xmlns:mc="http://schemas.openxmlformats.org/markup-compatibility/2006">
          <mc:Choice Requires="x14">
            <control shapeId="8325" r:id="rId41" name="Option Button 133">
              <controlPr defaultSize="0" autoFill="0" autoLine="0" autoPict="0">
                <anchor moveWithCells="1">
                  <from>
                    <xdr:col>2</xdr:col>
                    <xdr:colOff>179614</xdr:colOff>
                    <xdr:row>357</xdr:row>
                    <xdr:rowOff>65314</xdr:rowOff>
                  </from>
                  <to>
                    <xdr:col>10</xdr:col>
                    <xdr:colOff>103414</xdr:colOff>
                    <xdr:row>359</xdr:row>
                    <xdr:rowOff>48986</xdr:rowOff>
                  </to>
                </anchor>
              </controlPr>
            </control>
          </mc:Choice>
        </mc:AlternateContent>
        <mc:AlternateContent xmlns:mc="http://schemas.openxmlformats.org/markup-compatibility/2006">
          <mc:Choice Requires="x14">
            <control shapeId="8326" r:id="rId42" name="Option Button 134">
              <controlPr defaultSize="0" autoFill="0" autoLine="0" autoPict="0">
                <anchor moveWithCells="1">
                  <from>
                    <xdr:col>2</xdr:col>
                    <xdr:colOff>179614</xdr:colOff>
                    <xdr:row>359</xdr:row>
                    <xdr:rowOff>65314</xdr:rowOff>
                  </from>
                  <to>
                    <xdr:col>10</xdr:col>
                    <xdr:colOff>48986</xdr:colOff>
                    <xdr:row>361</xdr:row>
                    <xdr:rowOff>65314</xdr:rowOff>
                  </to>
                </anchor>
              </controlPr>
            </control>
          </mc:Choice>
        </mc:AlternateContent>
        <mc:AlternateContent xmlns:mc="http://schemas.openxmlformats.org/markup-compatibility/2006">
          <mc:Choice Requires="x14">
            <control shapeId="8327" r:id="rId43" name="Option Button 135">
              <controlPr defaultSize="0" autoFill="0" autoLine="0" autoPict="0">
                <anchor moveWithCells="1">
                  <from>
                    <xdr:col>2</xdr:col>
                    <xdr:colOff>179614</xdr:colOff>
                    <xdr:row>361</xdr:row>
                    <xdr:rowOff>48986</xdr:rowOff>
                  </from>
                  <to>
                    <xdr:col>9</xdr:col>
                    <xdr:colOff>76200</xdr:colOff>
                    <xdr:row>363</xdr:row>
                    <xdr:rowOff>48986</xdr:rowOff>
                  </to>
                </anchor>
              </controlPr>
            </control>
          </mc:Choice>
        </mc:AlternateContent>
        <mc:AlternateContent xmlns:mc="http://schemas.openxmlformats.org/markup-compatibility/2006">
          <mc:Choice Requires="x14">
            <control shapeId="8328" r:id="rId44" name="Option Button 136">
              <controlPr defaultSize="0" autoFill="0" autoLine="0" autoPict="0">
                <anchor moveWithCells="1">
                  <from>
                    <xdr:col>2</xdr:col>
                    <xdr:colOff>179614</xdr:colOff>
                    <xdr:row>363</xdr:row>
                    <xdr:rowOff>48986</xdr:rowOff>
                  </from>
                  <to>
                    <xdr:col>9</xdr:col>
                    <xdr:colOff>76200</xdr:colOff>
                    <xdr:row>365</xdr:row>
                    <xdr:rowOff>48986</xdr:rowOff>
                  </to>
                </anchor>
              </controlPr>
            </control>
          </mc:Choice>
        </mc:AlternateContent>
        <mc:AlternateContent xmlns:mc="http://schemas.openxmlformats.org/markup-compatibility/2006">
          <mc:Choice Requires="x14">
            <control shapeId="8329" r:id="rId45" name="Option Button 137">
              <controlPr defaultSize="0" autoFill="0" autoLine="0" autoPict="0">
                <anchor moveWithCells="1">
                  <from>
                    <xdr:col>2</xdr:col>
                    <xdr:colOff>179614</xdr:colOff>
                    <xdr:row>365</xdr:row>
                    <xdr:rowOff>48986</xdr:rowOff>
                  </from>
                  <to>
                    <xdr:col>10</xdr:col>
                    <xdr:colOff>27214</xdr:colOff>
                    <xdr:row>367</xdr:row>
                    <xdr:rowOff>48986</xdr:rowOff>
                  </to>
                </anchor>
              </controlPr>
            </control>
          </mc:Choice>
        </mc:AlternateContent>
        <mc:AlternateContent xmlns:mc="http://schemas.openxmlformats.org/markup-compatibility/2006">
          <mc:Choice Requires="x14">
            <control shapeId="8330" r:id="rId46" name="Group Box 138">
              <controlPr defaultSize="0" autoFill="0" autoPict="0">
                <anchor moveWithCells="1">
                  <from>
                    <xdr:col>2</xdr:col>
                    <xdr:colOff>152400</xdr:colOff>
                    <xdr:row>373</xdr:row>
                    <xdr:rowOff>10886</xdr:rowOff>
                  </from>
                  <to>
                    <xdr:col>10</xdr:col>
                    <xdr:colOff>103414</xdr:colOff>
                    <xdr:row>383</xdr:row>
                    <xdr:rowOff>48986</xdr:rowOff>
                  </to>
                </anchor>
              </controlPr>
            </control>
          </mc:Choice>
        </mc:AlternateContent>
        <mc:AlternateContent xmlns:mc="http://schemas.openxmlformats.org/markup-compatibility/2006">
          <mc:Choice Requires="x14">
            <control shapeId="8331" r:id="rId47" name="Option Button 139">
              <controlPr defaultSize="0" autoFill="0" autoLine="0" autoPict="0">
                <anchor moveWithCells="1">
                  <from>
                    <xdr:col>2</xdr:col>
                    <xdr:colOff>179614</xdr:colOff>
                    <xdr:row>373</xdr:row>
                    <xdr:rowOff>65314</xdr:rowOff>
                  </from>
                  <to>
                    <xdr:col>10</xdr:col>
                    <xdr:colOff>103414</xdr:colOff>
                    <xdr:row>375</xdr:row>
                    <xdr:rowOff>48986</xdr:rowOff>
                  </to>
                </anchor>
              </controlPr>
            </control>
          </mc:Choice>
        </mc:AlternateContent>
        <mc:AlternateContent xmlns:mc="http://schemas.openxmlformats.org/markup-compatibility/2006">
          <mc:Choice Requires="x14">
            <control shapeId="8332" r:id="rId48" name="Option Button 140">
              <controlPr defaultSize="0" autoFill="0" autoLine="0" autoPict="0">
                <anchor moveWithCells="1">
                  <from>
                    <xdr:col>2</xdr:col>
                    <xdr:colOff>179614</xdr:colOff>
                    <xdr:row>375</xdr:row>
                    <xdr:rowOff>65314</xdr:rowOff>
                  </from>
                  <to>
                    <xdr:col>10</xdr:col>
                    <xdr:colOff>48986</xdr:colOff>
                    <xdr:row>376</xdr:row>
                    <xdr:rowOff>293914</xdr:rowOff>
                  </to>
                </anchor>
              </controlPr>
            </control>
          </mc:Choice>
        </mc:AlternateContent>
        <mc:AlternateContent xmlns:mc="http://schemas.openxmlformats.org/markup-compatibility/2006">
          <mc:Choice Requires="x14">
            <control shapeId="8333" r:id="rId49" name="Option Button 141">
              <controlPr defaultSize="0" autoFill="0" autoLine="0" autoPict="0">
                <anchor moveWithCells="1">
                  <from>
                    <xdr:col>2</xdr:col>
                    <xdr:colOff>179614</xdr:colOff>
                    <xdr:row>377</xdr:row>
                    <xdr:rowOff>48986</xdr:rowOff>
                  </from>
                  <to>
                    <xdr:col>9</xdr:col>
                    <xdr:colOff>76200</xdr:colOff>
                    <xdr:row>378</xdr:row>
                    <xdr:rowOff>266700</xdr:rowOff>
                  </to>
                </anchor>
              </controlPr>
            </control>
          </mc:Choice>
        </mc:AlternateContent>
        <mc:AlternateContent xmlns:mc="http://schemas.openxmlformats.org/markup-compatibility/2006">
          <mc:Choice Requires="x14">
            <control shapeId="8334" r:id="rId50" name="Option Button 142">
              <controlPr defaultSize="0" autoFill="0" autoLine="0" autoPict="0">
                <anchor moveWithCells="1">
                  <from>
                    <xdr:col>2</xdr:col>
                    <xdr:colOff>179614</xdr:colOff>
                    <xdr:row>379</xdr:row>
                    <xdr:rowOff>48986</xdr:rowOff>
                  </from>
                  <to>
                    <xdr:col>9</xdr:col>
                    <xdr:colOff>76200</xdr:colOff>
                    <xdr:row>381</xdr:row>
                    <xdr:rowOff>48986</xdr:rowOff>
                  </to>
                </anchor>
              </controlPr>
            </control>
          </mc:Choice>
        </mc:AlternateContent>
        <mc:AlternateContent xmlns:mc="http://schemas.openxmlformats.org/markup-compatibility/2006">
          <mc:Choice Requires="x14">
            <control shapeId="8335" r:id="rId51" name="Option Button 143">
              <controlPr defaultSize="0" autoFill="0" autoLine="0" autoPict="0">
                <anchor moveWithCells="1">
                  <from>
                    <xdr:col>2</xdr:col>
                    <xdr:colOff>179614</xdr:colOff>
                    <xdr:row>381</xdr:row>
                    <xdr:rowOff>48986</xdr:rowOff>
                  </from>
                  <to>
                    <xdr:col>10</xdr:col>
                    <xdr:colOff>27214</xdr:colOff>
                    <xdr:row>383</xdr:row>
                    <xdr:rowOff>48986</xdr:rowOff>
                  </to>
                </anchor>
              </controlPr>
            </control>
          </mc:Choice>
        </mc:AlternateContent>
        <mc:AlternateContent xmlns:mc="http://schemas.openxmlformats.org/markup-compatibility/2006">
          <mc:Choice Requires="x14">
            <control shapeId="8336" r:id="rId52" name="Group Box 144">
              <controlPr defaultSize="0" autoFill="0" autoPict="0">
                <anchor moveWithCells="1">
                  <from>
                    <xdr:col>2</xdr:col>
                    <xdr:colOff>152400</xdr:colOff>
                    <xdr:row>389</xdr:row>
                    <xdr:rowOff>10886</xdr:rowOff>
                  </from>
                  <to>
                    <xdr:col>10</xdr:col>
                    <xdr:colOff>103414</xdr:colOff>
                    <xdr:row>400</xdr:row>
                    <xdr:rowOff>0</xdr:rowOff>
                  </to>
                </anchor>
              </controlPr>
            </control>
          </mc:Choice>
        </mc:AlternateContent>
        <mc:AlternateContent xmlns:mc="http://schemas.openxmlformats.org/markup-compatibility/2006">
          <mc:Choice Requires="x14">
            <control shapeId="8337" r:id="rId53" name="Option Button 145">
              <controlPr defaultSize="0" autoFill="0" autoLine="0" autoPict="0">
                <anchor moveWithCells="1">
                  <from>
                    <xdr:col>2</xdr:col>
                    <xdr:colOff>179614</xdr:colOff>
                    <xdr:row>389</xdr:row>
                    <xdr:rowOff>65314</xdr:rowOff>
                  </from>
                  <to>
                    <xdr:col>10</xdr:col>
                    <xdr:colOff>103414</xdr:colOff>
                    <xdr:row>391</xdr:row>
                    <xdr:rowOff>48986</xdr:rowOff>
                  </to>
                </anchor>
              </controlPr>
            </control>
          </mc:Choice>
        </mc:AlternateContent>
        <mc:AlternateContent xmlns:mc="http://schemas.openxmlformats.org/markup-compatibility/2006">
          <mc:Choice Requires="x14">
            <control shapeId="8338" r:id="rId54" name="Option Button 146">
              <controlPr defaultSize="0" autoFill="0" autoLine="0" autoPict="0">
                <anchor moveWithCells="1">
                  <from>
                    <xdr:col>2</xdr:col>
                    <xdr:colOff>179614</xdr:colOff>
                    <xdr:row>391</xdr:row>
                    <xdr:rowOff>65314</xdr:rowOff>
                  </from>
                  <to>
                    <xdr:col>10</xdr:col>
                    <xdr:colOff>48986</xdr:colOff>
                    <xdr:row>392</xdr:row>
                    <xdr:rowOff>293914</xdr:rowOff>
                  </to>
                </anchor>
              </controlPr>
            </control>
          </mc:Choice>
        </mc:AlternateContent>
        <mc:AlternateContent xmlns:mc="http://schemas.openxmlformats.org/markup-compatibility/2006">
          <mc:Choice Requires="x14">
            <control shapeId="8339" r:id="rId55" name="Option Button 147">
              <controlPr defaultSize="0" autoFill="0" autoLine="0" autoPict="0">
                <anchor moveWithCells="1">
                  <from>
                    <xdr:col>2</xdr:col>
                    <xdr:colOff>179614</xdr:colOff>
                    <xdr:row>393</xdr:row>
                    <xdr:rowOff>48986</xdr:rowOff>
                  </from>
                  <to>
                    <xdr:col>9</xdr:col>
                    <xdr:colOff>76200</xdr:colOff>
                    <xdr:row>394</xdr:row>
                    <xdr:rowOff>266700</xdr:rowOff>
                  </to>
                </anchor>
              </controlPr>
            </control>
          </mc:Choice>
        </mc:AlternateContent>
        <mc:AlternateContent xmlns:mc="http://schemas.openxmlformats.org/markup-compatibility/2006">
          <mc:Choice Requires="x14">
            <control shapeId="8340" r:id="rId56" name="Option Button 148">
              <controlPr defaultSize="0" autoFill="0" autoLine="0" autoPict="0">
                <anchor moveWithCells="1">
                  <from>
                    <xdr:col>2</xdr:col>
                    <xdr:colOff>179614</xdr:colOff>
                    <xdr:row>395</xdr:row>
                    <xdr:rowOff>48986</xdr:rowOff>
                  </from>
                  <to>
                    <xdr:col>9</xdr:col>
                    <xdr:colOff>76200</xdr:colOff>
                    <xdr:row>397</xdr:row>
                    <xdr:rowOff>48986</xdr:rowOff>
                  </to>
                </anchor>
              </controlPr>
            </control>
          </mc:Choice>
        </mc:AlternateContent>
        <mc:AlternateContent xmlns:mc="http://schemas.openxmlformats.org/markup-compatibility/2006">
          <mc:Choice Requires="x14">
            <control shapeId="8341" r:id="rId57" name="Option Button 149">
              <controlPr defaultSize="0" autoFill="0" autoLine="0" autoPict="0">
                <anchor moveWithCells="1">
                  <from>
                    <xdr:col>2</xdr:col>
                    <xdr:colOff>179614</xdr:colOff>
                    <xdr:row>397</xdr:row>
                    <xdr:rowOff>48986</xdr:rowOff>
                  </from>
                  <to>
                    <xdr:col>10</xdr:col>
                    <xdr:colOff>27214</xdr:colOff>
                    <xdr:row>399</xdr:row>
                    <xdr:rowOff>48986</xdr:rowOff>
                  </to>
                </anchor>
              </controlPr>
            </control>
          </mc:Choice>
        </mc:AlternateContent>
        <mc:AlternateContent xmlns:mc="http://schemas.openxmlformats.org/markup-compatibility/2006">
          <mc:Choice Requires="x14">
            <control shapeId="8342" r:id="rId58" name="Group Box 150">
              <controlPr defaultSize="0" autoFill="0" autoPict="0">
                <anchor moveWithCells="1">
                  <from>
                    <xdr:col>2</xdr:col>
                    <xdr:colOff>152400</xdr:colOff>
                    <xdr:row>405</xdr:row>
                    <xdr:rowOff>10886</xdr:rowOff>
                  </from>
                  <to>
                    <xdr:col>10</xdr:col>
                    <xdr:colOff>103414</xdr:colOff>
                    <xdr:row>416</xdr:row>
                    <xdr:rowOff>0</xdr:rowOff>
                  </to>
                </anchor>
              </controlPr>
            </control>
          </mc:Choice>
        </mc:AlternateContent>
        <mc:AlternateContent xmlns:mc="http://schemas.openxmlformats.org/markup-compatibility/2006">
          <mc:Choice Requires="x14">
            <control shapeId="8343" r:id="rId59" name="Option Button 151">
              <controlPr defaultSize="0" autoFill="0" autoLine="0" autoPict="0">
                <anchor moveWithCells="1">
                  <from>
                    <xdr:col>2</xdr:col>
                    <xdr:colOff>179614</xdr:colOff>
                    <xdr:row>405</xdr:row>
                    <xdr:rowOff>65314</xdr:rowOff>
                  </from>
                  <to>
                    <xdr:col>10</xdr:col>
                    <xdr:colOff>103414</xdr:colOff>
                    <xdr:row>407</xdr:row>
                    <xdr:rowOff>48986</xdr:rowOff>
                  </to>
                </anchor>
              </controlPr>
            </control>
          </mc:Choice>
        </mc:AlternateContent>
        <mc:AlternateContent xmlns:mc="http://schemas.openxmlformats.org/markup-compatibility/2006">
          <mc:Choice Requires="x14">
            <control shapeId="8344" r:id="rId60" name="Option Button 152">
              <controlPr defaultSize="0" autoFill="0" autoLine="0" autoPict="0">
                <anchor moveWithCells="1">
                  <from>
                    <xdr:col>2</xdr:col>
                    <xdr:colOff>179614</xdr:colOff>
                    <xdr:row>407</xdr:row>
                    <xdr:rowOff>65314</xdr:rowOff>
                  </from>
                  <to>
                    <xdr:col>10</xdr:col>
                    <xdr:colOff>48986</xdr:colOff>
                    <xdr:row>409</xdr:row>
                    <xdr:rowOff>48986</xdr:rowOff>
                  </to>
                </anchor>
              </controlPr>
            </control>
          </mc:Choice>
        </mc:AlternateContent>
        <mc:AlternateContent xmlns:mc="http://schemas.openxmlformats.org/markup-compatibility/2006">
          <mc:Choice Requires="x14">
            <control shapeId="8345" r:id="rId61" name="Option Button 153">
              <controlPr defaultSize="0" autoFill="0" autoLine="0" autoPict="0">
                <anchor moveWithCells="1">
                  <from>
                    <xdr:col>2</xdr:col>
                    <xdr:colOff>179614</xdr:colOff>
                    <xdr:row>409</xdr:row>
                    <xdr:rowOff>48986</xdr:rowOff>
                  </from>
                  <to>
                    <xdr:col>9</xdr:col>
                    <xdr:colOff>76200</xdr:colOff>
                    <xdr:row>410</xdr:row>
                    <xdr:rowOff>266700</xdr:rowOff>
                  </to>
                </anchor>
              </controlPr>
            </control>
          </mc:Choice>
        </mc:AlternateContent>
        <mc:AlternateContent xmlns:mc="http://schemas.openxmlformats.org/markup-compatibility/2006">
          <mc:Choice Requires="x14">
            <control shapeId="8346" r:id="rId62" name="Option Button 154">
              <controlPr defaultSize="0" autoFill="0" autoLine="0" autoPict="0">
                <anchor moveWithCells="1">
                  <from>
                    <xdr:col>2</xdr:col>
                    <xdr:colOff>179614</xdr:colOff>
                    <xdr:row>411</xdr:row>
                    <xdr:rowOff>48986</xdr:rowOff>
                  </from>
                  <to>
                    <xdr:col>9</xdr:col>
                    <xdr:colOff>76200</xdr:colOff>
                    <xdr:row>413</xdr:row>
                    <xdr:rowOff>48986</xdr:rowOff>
                  </to>
                </anchor>
              </controlPr>
            </control>
          </mc:Choice>
        </mc:AlternateContent>
        <mc:AlternateContent xmlns:mc="http://schemas.openxmlformats.org/markup-compatibility/2006">
          <mc:Choice Requires="x14">
            <control shapeId="8347" r:id="rId63" name="Option Button 155">
              <controlPr defaultSize="0" autoFill="0" autoLine="0" autoPict="0">
                <anchor moveWithCells="1">
                  <from>
                    <xdr:col>2</xdr:col>
                    <xdr:colOff>179614</xdr:colOff>
                    <xdr:row>413</xdr:row>
                    <xdr:rowOff>48986</xdr:rowOff>
                  </from>
                  <to>
                    <xdr:col>10</xdr:col>
                    <xdr:colOff>27214</xdr:colOff>
                    <xdr:row>415</xdr:row>
                    <xdr:rowOff>48986</xdr:rowOff>
                  </to>
                </anchor>
              </controlPr>
            </control>
          </mc:Choice>
        </mc:AlternateContent>
        <mc:AlternateContent xmlns:mc="http://schemas.openxmlformats.org/markup-compatibility/2006">
          <mc:Choice Requires="x14">
            <control shapeId="8348" r:id="rId64" name="Group Box 156">
              <controlPr defaultSize="0" autoFill="0" autoPict="0">
                <anchor moveWithCells="1">
                  <from>
                    <xdr:col>2</xdr:col>
                    <xdr:colOff>152400</xdr:colOff>
                    <xdr:row>421</xdr:row>
                    <xdr:rowOff>10886</xdr:rowOff>
                  </from>
                  <to>
                    <xdr:col>10</xdr:col>
                    <xdr:colOff>103414</xdr:colOff>
                    <xdr:row>432</xdr:row>
                    <xdr:rowOff>0</xdr:rowOff>
                  </to>
                </anchor>
              </controlPr>
            </control>
          </mc:Choice>
        </mc:AlternateContent>
        <mc:AlternateContent xmlns:mc="http://schemas.openxmlformats.org/markup-compatibility/2006">
          <mc:Choice Requires="x14">
            <control shapeId="8349" r:id="rId65" name="Option Button 157">
              <controlPr defaultSize="0" autoFill="0" autoLine="0" autoPict="0">
                <anchor moveWithCells="1">
                  <from>
                    <xdr:col>2</xdr:col>
                    <xdr:colOff>179614</xdr:colOff>
                    <xdr:row>421</xdr:row>
                    <xdr:rowOff>65314</xdr:rowOff>
                  </from>
                  <to>
                    <xdr:col>10</xdr:col>
                    <xdr:colOff>103414</xdr:colOff>
                    <xdr:row>423</xdr:row>
                    <xdr:rowOff>48986</xdr:rowOff>
                  </to>
                </anchor>
              </controlPr>
            </control>
          </mc:Choice>
        </mc:AlternateContent>
        <mc:AlternateContent xmlns:mc="http://schemas.openxmlformats.org/markup-compatibility/2006">
          <mc:Choice Requires="x14">
            <control shapeId="8350" r:id="rId66" name="Option Button 158">
              <controlPr defaultSize="0" autoFill="0" autoLine="0" autoPict="0">
                <anchor moveWithCells="1">
                  <from>
                    <xdr:col>2</xdr:col>
                    <xdr:colOff>179614</xdr:colOff>
                    <xdr:row>423</xdr:row>
                    <xdr:rowOff>65314</xdr:rowOff>
                  </from>
                  <to>
                    <xdr:col>10</xdr:col>
                    <xdr:colOff>48986</xdr:colOff>
                    <xdr:row>425</xdr:row>
                    <xdr:rowOff>65314</xdr:rowOff>
                  </to>
                </anchor>
              </controlPr>
            </control>
          </mc:Choice>
        </mc:AlternateContent>
        <mc:AlternateContent xmlns:mc="http://schemas.openxmlformats.org/markup-compatibility/2006">
          <mc:Choice Requires="x14">
            <control shapeId="8351" r:id="rId67" name="Option Button 159">
              <controlPr defaultSize="0" autoFill="0" autoLine="0" autoPict="0">
                <anchor moveWithCells="1">
                  <from>
                    <xdr:col>2</xdr:col>
                    <xdr:colOff>179614</xdr:colOff>
                    <xdr:row>425</xdr:row>
                    <xdr:rowOff>48986</xdr:rowOff>
                  </from>
                  <to>
                    <xdr:col>9</xdr:col>
                    <xdr:colOff>76200</xdr:colOff>
                    <xdr:row>426</xdr:row>
                    <xdr:rowOff>266700</xdr:rowOff>
                  </to>
                </anchor>
              </controlPr>
            </control>
          </mc:Choice>
        </mc:AlternateContent>
        <mc:AlternateContent xmlns:mc="http://schemas.openxmlformats.org/markup-compatibility/2006">
          <mc:Choice Requires="x14">
            <control shapeId="8352" r:id="rId68" name="Option Button 160">
              <controlPr defaultSize="0" autoFill="0" autoLine="0" autoPict="0">
                <anchor moveWithCells="1">
                  <from>
                    <xdr:col>2</xdr:col>
                    <xdr:colOff>179614</xdr:colOff>
                    <xdr:row>427</xdr:row>
                    <xdr:rowOff>48986</xdr:rowOff>
                  </from>
                  <to>
                    <xdr:col>9</xdr:col>
                    <xdr:colOff>76200</xdr:colOff>
                    <xdr:row>428</xdr:row>
                    <xdr:rowOff>277586</xdr:rowOff>
                  </to>
                </anchor>
              </controlPr>
            </control>
          </mc:Choice>
        </mc:AlternateContent>
        <mc:AlternateContent xmlns:mc="http://schemas.openxmlformats.org/markup-compatibility/2006">
          <mc:Choice Requires="x14">
            <control shapeId="8353" r:id="rId69" name="Option Button 161">
              <controlPr defaultSize="0" autoFill="0" autoLine="0" autoPict="0">
                <anchor moveWithCells="1">
                  <from>
                    <xdr:col>2</xdr:col>
                    <xdr:colOff>179614</xdr:colOff>
                    <xdr:row>429</xdr:row>
                    <xdr:rowOff>48986</xdr:rowOff>
                  </from>
                  <to>
                    <xdr:col>10</xdr:col>
                    <xdr:colOff>27214</xdr:colOff>
                    <xdr:row>431</xdr:row>
                    <xdr:rowOff>48986</xdr:rowOff>
                  </to>
                </anchor>
              </controlPr>
            </control>
          </mc:Choice>
        </mc:AlternateContent>
        <mc:AlternateContent xmlns:mc="http://schemas.openxmlformats.org/markup-compatibility/2006">
          <mc:Choice Requires="x14">
            <control shapeId="8354" r:id="rId70" name="Group Box 162">
              <controlPr defaultSize="0" autoFill="0" autoPict="0">
                <anchor moveWithCells="1">
                  <from>
                    <xdr:col>2</xdr:col>
                    <xdr:colOff>152400</xdr:colOff>
                    <xdr:row>441</xdr:row>
                    <xdr:rowOff>10886</xdr:rowOff>
                  </from>
                  <to>
                    <xdr:col>10</xdr:col>
                    <xdr:colOff>103414</xdr:colOff>
                    <xdr:row>452</xdr:row>
                    <xdr:rowOff>0</xdr:rowOff>
                  </to>
                </anchor>
              </controlPr>
            </control>
          </mc:Choice>
        </mc:AlternateContent>
        <mc:AlternateContent xmlns:mc="http://schemas.openxmlformats.org/markup-compatibility/2006">
          <mc:Choice Requires="x14">
            <control shapeId="8355" r:id="rId71" name="Option Button 163">
              <controlPr defaultSize="0" autoFill="0" autoLine="0" autoPict="0">
                <anchor moveWithCells="1">
                  <from>
                    <xdr:col>2</xdr:col>
                    <xdr:colOff>179614</xdr:colOff>
                    <xdr:row>441</xdr:row>
                    <xdr:rowOff>65314</xdr:rowOff>
                  </from>
                  <to>
                    <xdr:col>10</xdr:col>
                    <xdr:colOff>103414</xdr:colOff>
                    <xdr:row>442</xdr:row>
                    <xdr:rowOff>277586</xdr:rowOff>
                  </to>
                </anchor>
              </controlPr>
            </control>
          </mc:Choice>
        </mc:AlternateContent>
        <mc:AlternateContent xmlns:mc="http://schemas.openxmlformats.org/markup-compatibility/2006">
          <mc:Choice Requires="x14">
            <control shapeId="8356" r:id="rId72" name="Option Button 164">
              <controlPr defaultSize="0" autoFill="0" autoLine="0" autoPict="0">
                <anchor moveWithCells="1">
                  <from>
                    <xdr:col>2</xdr:col>
                    <xdr:colOff>179614</xdr:colOff>
                    <xdr:row>443</xdr:row>
                    <xdr:rowOff>65314</xdr:rowOff>
                  </from>
                  <to>
                    <xdr:col>10</xdr:col>
                    <xdr:colOff>48986</xdr:colOff>
                    <xdr:row>446</xdr:row>
                    <xdr:rowOff>0</xdr:rowOff>
                  </to>
                </anchor>
              </controlPr>
            </control>
          </mc:Choice>
        </mc:AlternateContent>
        <mc:AlternateContent xmlns:mc="http://schemas.openxmlformats.org/markup-compatibility/2006">
          <mc:Choice Requires="x14">
            <control shapeId="8357" r:id="rId73" name="Option Button 165">
              <controlPr defaultSize="0" autoFill="0" autoLine="0" autoPict="0">
                <anchor moveWithCells="1">
                  <from>
                    <xdr:col>2</xdr:col>
                    <xdr:colOff>179614</xdr:colOff>
                    <xdr:row>445</xdr:row>
                    <xdr:rowOff>48986</xdr:rowOff>
                  </from>
                  <to>
                    <xdr:col>9</xdr:col>
                    <xdr:colOff>76200</xdr:colOff>
                    <xdr:row>447</xdr:row>
                    <xdr:rowOff>38100</xdr:rowOff>
                  </to>
                </anchor>
              </controlPr>
            </control>
          </mc:Choice>
        </mc:AlternateContent>
        <mc:AlternateContent xmlns:mc="http://schemas.openxmlformats.org/markup-compatibility/2006">
          <mc:Choice Requires="x14">
            <control shapeId="8358" r:id="rId74" name="Option Button 166">
              <controlPr defaultSize="0" autoFill="0" autoLine="0" autoPict="0">
                <anchor moveWithCells="1">
                  <from>
                    <xdr:col>2</xdr:col>
                    <xdr:colOff>179614</xdr:colOff>
                    <xdr:row>447</xdr:row>
                    <xdr:rowOff>48986</xdr:rowOff>
                  </from>
                  <to>
                    <xdr:col>9</xdr:col>
                    <xdr:colOff>76200</xdr:colOff>
                    <xdr:row>449</xdr:row>
                    <xdr:rowOff>48986</xdr:rowOff>
                  </to>
                </anchor>
              </controlPr>
            </control>
          </mc:Choice>
        </mc:AlternateContent>
        <mc:AlternateContent xmlns:mc="http://schemas.openxmlformats.org/markup-compatibility/2006">
          <mc:Choice Requires="x14">
            <control shapeId="8359" r:id="rId75" name="Option Button 167">
              <controlPr defaultSize="0" autoFill="0" autoLine="0" autoPict="0">
                <anchor moveWithCells="1">
                  <from>
                    <xdr:col>2</xdr:col>
                    <xdr:colOff>179614</xdr:colOff>
                    <xdr:row>449</xdr:row>
                    <xdr:rowOff>48986</xdr:rowOff>
                  </from>
                  <to>
                    <xdr:col>10</xdr:col>
                    <xdr:colOff>27214</xdr:colOff>
                    <xdr:row>451</xdr:row>
                    <xdr:rowOff>48986</xdr:rowOff>
                  </to>
                </anchor>
              </controlPr>
            </control>
          </mc:Choice>
        </mc:AlternateContent>
        <mc:AlternateContent xmlns:mc="http://schemas.openxmlformats.org/markup-compatibility/2006">
          <mc:Choice Requires="x14">
            <control shapeId="8360" r:id="rId76" name="Group Box 168">
              <controlPr defaultSize="0" autoFill="0" autoPict="0">
                <anchor moveWithCells="1">
                  <from>
                    <xdr:col>2</xdr:col>
                    <xdr:colOff>152400</xdr:colOff>
                    <xdr:row>457</xdr:row>
                    <xdr:rowOff>10886</xdr:rowOff>
                  </from>
                  <to>
                    <xdr:col>10</xdr:col>
                    <xdr:colOff>103414</xdr:colOff>
                    <xdr:row>468</xdr:row>
                    <xdr:rowOff>0</xdr:rowOff>
                  </to>
                </anchor>
              </controlPr>
            </control>
          </mc:Choice>
        </mc:AlternateContent>
        <mc:AlternateContent xmlns:mc="http://schemas.openxmlformats.org/markup-compatibility/2006">
          <mc:Choice Requires="x14">
            <control shapeId="8361" r:id="rId77" name="Option Button 169">
              <controlPr defaultSize="0" autoFill="0" autoLine="0" autoPict="0">
                <anchor moveWithCells="1">
                  <from>
                    <xdr:col>2</xdr:col>
                    <xdr:colOff>179614</xdr:colOff>
                    <xdr:row>457</xdr:row>
                    <xdr:rowOff>65314</xdr:rowOff>
                  </from>
                  <to>
                    <xdr:col>10</xdr:col>
                    <xdr:colOff>103414</xdr:colOff>
                    <xdr:row>458</xdr:row>
                    <xdr:rowOff>277586</xdr:rowOff>
                  </to>
                </anchor>
              </controlPr>
            </control>
          </mc:Choice>
        </mc:AlternateContent>
        <mc:AlternateContent xmlns:mc="http://schemas.openxmlformats.org/markup-compatibility/2006">
          <mc:Choice Requires="x14">
            <control shapeId="8362" r:id="rId78" name="Option Button 170">
              <controlPr defaultSize="0" autoFill="0" autoLine="0" autoPict="0">
                <anchor moveWithCells="1">
                  <from>
                    <xdr:col>2</xdr:col>
                    <xdr:colOff>179614</xdr:colOff>
                    <xdr:row>459</xdr:row>
                    <xdr:rowOff>65314</xdr:rowOff>
                  </from>
                  <to>
                    <xdr:col>10</xdr:col>
                    <xdr:colOff>48986</xdr:colOff>
                    <xdr:row>460</xdr:row>
                    <xdr:rowOff>293914</xdr:rowOff>
                  </to>
                </anchor>
              </controlPr>
            </control>
          </mc:Choice>
        </mc:AlternateContent>
        <mc:AlternateContent xmlns:mc="http://schemas.openxmlformats.org/markup-compatibility/2006">
          <mc:Choice Requires="x14">
            <control shapeId="8363" r:id="rId79" name="Option Button 171">
              <controlPr defaultSize="0" autoFill="0" autoLine="0" autoPict="0">
                <anchor moveWithCells="1">
                  <from>
                    <xdr:col>2</xdr:col>
                    <xdr:colOff>179614</xdr:colOff>
                    <xdr:row>461</xdr:row>
                    <xdr:rowOff>48986</xdr:rowOff>
                  </from>
                  <to>
                    <xdr:col>9</xdr:col>
                    <xdr:colOff>76200</xdr:colOff>
                    <xdr:row>462</xdr:row>
                    <xdr:rowOff>266700</xdr:rowOff>
                  </to>
                </anchor>
              </controlPr>
            </control>
          </mc:Choice>
        </mc:AlternateContent>
        <mc:AlternateContent xmlns:mc="http://schemas.openxmlformats.org/markup-compatibility/2006">
          <mc:Choice Requires="x14">
            <control shapeId="8364" r:id="rId80" name="Option Button 172">
              <controlPr defaultSize="0" autoFill="0" autoLine="0" autoPict="0">
                <anchor moveWithCells="1">
                  <from>
                    <xdr:col>2</xdr:col>
                    <xdr:colOff>179614</xdr:colOff>
                    <xdr:row>463</xdr:row>
                    <xdr:rowOff>48986</xdr:rowOff>
                  </from>
                  <to>
                    <xdr:col>9</xdr:col>
                    <xdr:colOff>76200</xdr:colOff>
                    <xdr:row>464</xdr:row>
                    <xdr:rowOff>277586</xdr:rowOff>
                  </to>
                </anchor>
              </controlPr>
            </control>
          </mc:Choice>
        </mc:AlternateContent>
        <mc:AlternateContent xmlns:mc="http://schemas.openxmlformats.org/markup-compatibility/2006">
          <mc:Choice Requires="x14">
            <control shapeId="8365" r:id="rId81" name="Option Button 173">
              <controlPr defaultSize="0" autoFill="0" autoLine="0" autoPict="0">
                <anchor moveWithCells="1">
                  <from>
                    <xdr:col>2</xdr:col>
                    <xdr:colOff>179614</xdr:colOff>
                    <xdr:row>465</xdr:row>
                    <xdr:rowOff>48986</xdr:rowOff>
                  </from>
                  <to>
                    <xdr:col>10</xdr:col>
                    <xdr:colOff>27214</xdr:colOff>
                    <xdr:row>466</xdr:row>
                    <xdr:rowOff>277586</xdr:rowOff>
                  </to>
                </anchor>
              </controlPr>
            </control>
          </mc:Choice>
        </mc:AlternateContent>
        <mc:AlternateContent xmlns:mc="http://schemas.openxmlformats.org/markup-compatibility/2006">
          <mc:Choice Requires="x14">
            <control shapeId="8366" r:id="rId82" name="Group Box 174">
              <controlPr defaultSize="0" autoFill="0" autoPict="0">
                <anchor moveWithCells="1">
                  <from>
                    <xdr:col>2</xdr:col>
                    <xdr:colOff>152400</xdr:colOff>
                    <xdr:row>473</xdr:row>
                    <xdr:rowOff>10886</xdr:rowOff>
                  </from>
                  <to>
                    <xdr:col>10</xdr:col>
                    <xdr:colOff>103414</xdr:colOff>
                    <xdr:row>484</xdr:row>
                    <xdr:rowOff>0</xdr:rowOff>
                  </to>
                </anchor>
              </controlPr>
            </control>
          </mc:Choice>
        </mc:AlternateContent>
        <mc:AlternateContent xmlns:mc="http://schemas.openxmlformats.org/markup-compatibility/2006">
          <mc:Choice Requires="x14">
            <control shapeId="8367" r:id="rId83" name="Option Button 175">
              <controlPr defaultSize="0" autoFill="0" autoLine="0" autoPict="0">
                <anchor moveWithCells="1">
                  <from>
                    <xdr:col>2</xdr:col>
                    <xdr:colOff>179614</xdr:colOff>
                    <xdr:row>473</xdr:row>
                    <xdr:rowOff>65314</xdr:rowOff>
                  </from>
                  <to>
                    <xdr:col>10</xdr:col>
                    <xdr:colOff>103414</xdr:colOff>
                    <xdr:row>474</xdr:row>
                    <xdr:rowOff>277586</xdr:rowOff>
                  </to>
                </anchor>
              </controlPr>
            </control>
          </mc:Choice>
        </mc:AlternateContent>
        <mc:AlternateContent xmlns:mc="http://schemas.openxmlformats.org/markup-compatibility/2006">
          <mc:Choice Requires="x14">
            <control shapeId="8368" r:id="rId84" name="Option Button 176">
              <controlPr defaultSize="0" autoFill="0" autoLine="0" autoPict="0">
                <anchor moveWithCells="1">
                  <from>
                    <xdr:col>2</xdr:col>
                    <xdr:colOff>179614</xdr:colOff>
                    <xdr:row>475</xdr:row>
                    <xdr:rowOff>65314</xdr:rowOff>
                  </from>
                  <to>
                    <xdr:col>10</xdr:col>
                    <xdr:colOff>48986</xdr:colOff>
                    <xdr:row>476</xdr:row>
                    <xdr:rowOff>293914</xdr:rowOff>
                  </to>
                </anchor>
              </controlPr>
            </control>
          </mc:Choice>
        </mc:AlternateContent>
        <mc:AlternateContent xmlns:mc="http://schemas.openxmlformats.org/markup-compatibility/2006">
          <mc:Choice Requires="x14">
            <control shapeId="8369" r:id="rId85" name="Option Button 177">
              <controlPr defaultSize="0" autoFill="0" autoLine="0" autoPict="0">
                <anchor moveWithCells="1">
                  <from>
                    <xdr:col>2</xdr:col>
                    <xdr:colOff>179614</xdr:colOff>
                    <xdr:row>477</xdr:row>
                    <xdr:rowOff>48986</xdr:rowOff>
                  </from>
                  <to>
                    <xdr:col>9</xdr:col>
                    <xdr:colOff>76200</xdr:colOff>
                    <xdr:row>479</xdr:row>
                    <xdr:rowOff>48986</xdr:rowOff>
                  </to>
                </anchor>
              </controlPr>
            </control>
          </mc:Choice>
        </mc:AlternateContent>
        <mc:AlternateContent xmlns:mc="http://schemas.openxmlformats.org/markup-compatibility/2006">
          <mc:Choice Requires="x14">
            <control shapeId="8370" r:id="rId86" name="Option Button 178">
              <controlPr defaultSize="0" autoFill="0" autoLine="0" autoPict="0">
                <anchor moveWithCells="1">
                  <from>
                    <xdr:col>2</xdr:col>
                    <xdr:colOff>179614</xdr:colOff>
                    <xdr:row>479</xdr:row>
                    <xdr:rowOff>48986</xdr:rowOff>
                  </from>
                  <to>
                    <xdr:col>9</xdr:col>
                    <xdr:colOff>76200</xdr:colOff>
                    <xdr:row>481</xdr:row>
                    <xdr:rowOff>48986</xdr:rowOff>
                  </to>
                </anchor>
              </controlPr>
            </control>
          </mc:Choice>
        </mc:AlternateContent>
        <mc:AlternateContent xmlns:mc="http://schemas.openxmlformats.org/markup-compatibility/2006">
          <mc:Choice Requires="x14">
            <control shapeId="8371" r:id="rId87" name="Option Button 179">
              <controlPr defaultSize="0" autoFill="0" autoLine="0" autoPict="0">
                <anchor moveWithCells="1">
                  <from>
                    <xdr:col>2</xdr:col>
                    <xdr:colOff>179614</xdr:colOff>
                    <xdr:row>481</xdr:row>
                    <xdr:rowOff>48986</xdr:rowOff>
                  </from>
                  <to>
                    <xdr:col>10</xdr:col>
                    <xdr:colOff>27214</xdr:colOff>
                    <xdr:row>483</xdr:row>
                    <xdr:rowOff>48986</xdr:rowOff>
                  </to>
                </anchor>
              </controlPr>
            </control>
          </mc:Choice>
        </mc:AlternateContent>
        <mc:AlternateContent xmlns:mc="http://schemas.openxmlformats.org/markup-compatibility/2006">
          <mc:Choice Requires="x14">
            <control shapeId="8372" r:id="rId88" name="Group Box 180">
              <controlPr defaultSize="0" autoFill="0" autoPict="0">
                <anchor moveWithCells="1">
                  <from>
                    <xdr:col>2</xdr:col>
                    <xdr:colOff>152400</xdr:colOff>
                    <xdr:row>489</xdr:row>
                    <xdr:rowOff>10886</xdr:rowOff>
                  </from>
                  <to>
                    <xdr:col>10</xdr:col>
                    <xdr:colOff>103414</xdr:colOff>
                    <xdr:row>500</xdr:row>
                    <xdr:rowOff>0</xdr:rowOff>
                  </to>
                </anchor>
              </controlPr>
            </control>
          </mc:Choice>
        </mc:AlternateContent>
        <mc:AlternateContent xmlns:mc="http://schemas.openxmlformats.org/markup-compatibility/2006">
          <mc:Choice Requires="x14">
            <control shapeId="8373" r:id="rId89" name="Option Button 181">
              <controlPr defaultSize="0" autoFill="0" autoLine="0" autoPict="0">
                <anchor moveWithCells="1">
                  <from>
                    <xdr:col>2</xdr:col>
                    <xdr:colOff>179614</xdr:colOff>
                    <xdr:row>489</xdr:row>
                    <xdr:rowOff>65314</xdr:rowOff>
                  </from>
                  <to>
                    <xdr:col>10</xdr:col>
                    <xdr:colOff>103414</xdr:colOff>
                    <xdr:row>491</xdr:row>
                    <xdr:rowOff>48986</xdr:rowOff>
                  </to>
                </anchor>
              </controlPr>
            </control>
          </mc:Choice>
        </mc:AlternateContent>
        <mc:AlternateContent xmlns:mc="http://schemas.openxmlformats.org/markup-compatibility/2006">
          <mc:Choice Requires="x14">
            <control shapeId="8374" r:id="rId90" name="Option Button 182">
              <controlPr defaultSize="0" autoFill="0" autoLine="0" autoPict="0">
                <anchor moveWithCells="1">
                  <from>
                    <xdr:col>2</xdr:col>
                    <xdr:colOff>179614</xdr:colOff>
                    <xdr:row>491</xdr:row>
                    <xdr:rowOff>65314</xdr:rowOff>
                  </from>
                  <to>
                    <xdr:col>10</xdr:col>
                    <xdr:colOff>48986</xdr:colOff>
                    <xdr:row>492</xdr:row>
                    <xdr:rowOff>293914</xdr:rowOff>
                  </to>
                </anchor>
              </controlPr>
            </control>
          </mc:Choice>
        </mc:AlternateContent>
        <mc:AlternateContent xmlns:mc="http://schemas.openxmlformats.org/markup-compatibility/2006">
          <mc:Choice Requires="x14">
            <control shapeId="8375" r:id="rId91" name="Option Button 183">
              <controlPr defaultSize="0" autoFill="0" autoLine="0" autoPict="0">
                <anchor moveWithCells="1">
                  <from>
                    <xdr:col>2</xdr:col>
                    <xdr:colOff>179614</xdr:colOff>
                    <xdr:row>493</xdr:row>
                    <xdr:rowOff>48986</xdr:rowOff>
                  </from>
                  <to>
                    <xdr:col>9</xdr:col>
                    <xdr:colOff>76200</xdr:colOff>
                    <xdr:row>494</xdr:row>
                    <xdr:rowOff>266700</xdr:rowOff>
                  </to>
                </anchor>
              </controlPr>
            </control>
          </mc:Choice>
        </mc:AlternateContent>
        <mc:AlternateContent xmlns:mc="http://schemas.openxmlformats.org/markup-compatibility/2006">
          <mc:Choice Requires="x14">
            <control shapeId="8376" r:id="rId92" name="Option Button 184">
              <controlPr defaultSize="0" autoFill="0" autoLine="0" autoPict="0">
                <anchor moveWithCells="1">
                  <from>
                    <xdr:col>2</xdr:col>
                    <xdr:colOff>179614</xdr:colOff>
                    <xdr:row>495</xdr:row>
                    <xdr:rowOff>48986</xdr:rowOff>
                  </from>
                  <to>
                    <xdr:col>9</xdr:col>
                    <xdr:colOff>76200</xdr:colOff>
                    <xdr:row>497</xdr:row>
                    <xdr:rowOff>48986</xdr:rowOff>
                  </to>
                </anchor>
              </controlPr>
            </control>
          </mc:Choice>
        </mc:AlternateContent>
        <mc:AlternateContent xmlns:mc="http://schemas.openxmlformats.org/markup-compatibility/2006">
          <mc:Choice Requires="x14">
            <control shapeId="8377" r:id="rId93" name="Option Button 185">
              <controlPr defaultSize="0" autoFill="0" autoLine="0" autoPict="0">
                <anchor moveWithCells="1">
                  <from>
                    <xdr:col>2</xdr:col>
                    <xdr:colOff>179614</xdr:colOff>
                    <xdr:row>497</xdr:row>
                    <xdr:rowOff>48986</xdr:rowOff>
                  </from>
                  <to>
                    <xdr:col>10</xdr:col>
                    <xdr:colOff>27214</xdr:colOff>
                    <xdr:row>499</xdr:row>
                    <xdr:rowOff>48986</xdr:rowOff>
                  </to>
                </anchor>
              </controlPr>
            </control>
          </mc:Choice>
        </mc:AlternateContent>
        <mc:AlternateContent xmlns:mc="http://schemas.openxmlformats.org/markup-compatibility/2006">
          <mc:Choice Requires="x14">
            <control shapeId="8454" r:id="rId94" name="Group Box 262">
              <controlPr defaultSize="0" print="0" autoFill="0" autoPict="0">
                <anchor moveWithCells="1">
                  <from>
                    <xdr:col>2</xdr:col>
                    <xdr:colOff>141514</xdr:colOff>
                    <xdr:row>115</xdr:row>
                    <xdr:rowOff>10886</xdr:rowOff>
                  </from>
                  <to>
                    <xdr:col>7</xdr:col>
                    <xdr:colOff>190500</xdr:colOff>
                    <xdr:row>116</xdr:row>
                    <xdr:rowOff>228600</xdr:rowOff>
                  </to>
                </anchor>
              </controlPr>
            </control>
          </mc:Choice>
        </mc:AlternateContent>
        <mc:AlternateContent xmlns:mc="http://schemas.openxmlformats.org/markup-compatibility/2006">
          <mc:Choice Requires="x14">
            <control shapeId="8455" r:id="rId95" name="Option Button 263">
              <controlPr defaultSize="0" autoFill="0" autoLine="0" autoPict="0">
                <anchor moveWithCells="1">
                  <from>
                    <xdr:col>2</xdr:col>
                    <xdr:colOff>190500</xdr:colOff>
                    <xdr:row>115</xdr:row>
                    <xdr:rowOff>48986</xdr:rowOff>
                  </from>
                  <to>
                    <xdr:col>4</xdr:col>
                    <xdr:colOff>163286</xdr:colOff>
                    <xdr:row>116</xdr:row>
                    <xdr:rowOff>228600</xdr:rowOff>
                  </to>
                </anchor>
              </controlPr>
            </control>
          </mc:Choice>
        </mc:AlternateContent>
        <mc:AlternateContent xmlns:mc="http://schemas.openxmlformats.org/markup-compatibility/2006">
          <mc:Choice Requires="x14">
            <control shapeId="8456" r:id="rId96" name="Option Button 264">
              <controlPr defaultSize="0" autoFill="0" autoLine="0" autoPict="0">
                <anchor moveWithCells="1">
                  <from>
                    <xdr:col>4</xdr:col>
                    <xdr:colOff>103414</xdr:colOff>
                    <xdr:row>115</xdr:row>
                    <xdr:rowOff>38100</xdr:rowOff>
                  </from>
                  <to>
                    <xdr:col>6</xdr:col>
                    <xdr:colOff>76200</xdr:colOff>
                    <xdr:row>116</xdr:row>
                    <xdr:rowOff>217714</xdr:rowOff>
                  </to>
                </anchor>
              </controlPr>
            </control>
          </mc:Choice>
        </mc:AlternateContent>
        <mc:AlternateContent xmlns:mc="http://schemas.openxmlformats.org/markup-compatibility/2006">
          <mc:Choice Requires="x14">
            <control shapeId="8457" r:id="rId97" name="Option Button 265">
              <controlPr defaultSize="0" autoFill="0" autoLine="0" autoPict="0">
                <anchor moveWithCells="1">
                  <from>
                    <xdr:col>5</xdr:col>
                    <xdr:colOff>201386</xdr:colOff>
                    <xdr:row>115</xdr:row>
                    <xdr:rowOff>38100</xdr:rowOff>
                  </from>
                  <to>
                    <xdr:col>7</xdr:col>
                    <xdr:colOff>179614</xdr:colOff>
                    <xdr:row>116</xdr:row>
                    <xdr:rowOff>217714</xdr:rowOff>
                  </to>
                </anchor>
              </controlPr>
            </control>
          </mc:Choice>
        </mc:AlternateContent>
        <mc:AlternateContent xmlns:mc="http://schemas.openxmlformats.org/markup-compatibility/2006">
          <mc:Choice Requires="x14">
            <control shapeId="8462" r:id="rId98" name="Group Box 270">
              <controlPr defaultSize="0" print="0" autoFill="0" autoPict="0">
                <anchor moveWithCells="1">
                  <from>
                    <xdr:col>2</xdr:col>
                    <xdr:colOff>141514</xdr:colOff>
                    <xdr:row>119</xdr:row>
                    <xdr:rowOff>10886</xdr:rowOff>
                  </from>
                  <to>
                    <xdr:col>7</xdr:col>
                    <xdr:colOff>190500</xdr:colOff>
                    <xdr:row>120</xdr:row>
                    <xdr:rowOff>228600</xdr:rowOff>
                  </to>
                </anchor>
              </controlPr>
            </control>
          </mc:Choice>
        </mc:AlternateContent>
        <mc:AlternateContent xmlns:mc="http://schemas.openxmlformats.org/markup-compatibility/2006">
          <mc:Choice Requires="x14">
            <control shapeId="8463" r:id="rId99" name="Option Button 271">
              <controlPr defaultSize="0" autoFill="0" autoLine="0" autoPict="0">
                <anchor moveWithCells="1">
                  <from>
                    <xdr:col>2</xdr:col>
                    <xdr:colOff>190500</xdr:colOff>
                    <xdr:row>119</xdr:row>
                    <xdr:rowOff>38100</xdr:rowOff>
                  </from>
                  <to>
                    <xdr:col>4</xdr:col>
                    <xdr:colOff>163286</xdr:colOff>
                    <xdr:row>120</xdr:row>
                    <xdr:rowOff>217714</xdr:rowOff>
                  </to>
                </anchor>
              </controlPr>
            </control>
          </mc:Choice>
        </mc:AlternateContent>
        <mc:AlternateContent xmlns:mc="http://schemas.openxmlformats.org/markup-compatibility/2006">
          <mc:Choice Requires="x14">
            <control shapeId="8464" r:id="rId100" name="Option Button 272">
              <controlPr defaultSize="0" autoFill="0" autoLine="0" autoPict="0">
                <anchor moveWithCells="1">
                  <from>
                    <xdr:col>4</xdr:col>
                    <xdr:colOff>103414</xdr:colOff>
                    <xdr:row>119</xdr:row>
                    <xdr:rowOff>38100</xdr:rowOff>
                  </from>
                  <to>
                    <xdr:col>6</xdr:col>
                    <xdr:colOff>76200</xdr:colOff>
                    <xdr:row>120</xdr:row>
                    <xdr:rowOff>217714</xdr:rowOff>
                  </to>
                </anchor>
              </controlPr>
            </control>
          </mc:Choice>
        </mc:AlternateContent>
        <mc:AlternateContent xmlns:mc="http://schemas.openxmlformats.org/markup-compatibility/2006">
          <mc:Choice Requires="x14">
            <control shapeId="8465" r:id="rId101" name="Option Button 273">
              <controlPr defaultSize="0" autoFill="0" autoLine="0" autoPict="0">
                <anchor moveWithCells="1">
                  <from>
                    <xdr:col>5</xdr:col>
                    <xdr:colOff>201386</xdr:colOff>
                    <xdr:row>119</xdr:row>
                    <xdr:rowOff>38100</xdr:rowOff>
                  </from>
                  <to>
                    <xdr:col>7</xdr:col>
                    <xdr:colOff>179614</xdr:colOff>
                    <xdr:row>120</xdr:row>
                    <xdr:rowOff>217714</xdr:rowOff>
                  </to>
                </anchor>
              </controlPr>
            </control>
          </mc:Choice>
        </mc:AlternateContent>
        <mc:AlternateContent xmlns:mc="http://schemas.openxmlformats.org/markup-compatibility/2006">
          <mc:Choice Requires="x14">
            <control shapeId="8466" r:id="rId102" name="Group Box 274">
              <controlPr defaultSize="0" print="0" autoFill="0" autoPict="0">
                <anchor moveWithCells="1">
                  <from>
                    <xdr:col>2</xdr:col>
                    <xdr:colOff>141514</xdr:colOff>
                    <xdr:row>113</xdr:row>
                    <xdr:rowOff>10886</xdr:rowOff>
                  </from>
                  <to>
                    <xdr:col>7</xdr:col>
                    <xdr:colOff>190500</xdr:colOff>
                    <xdr:row>115</xdr:row>
                    <xdr:rowOff>10886</xdr:rowOff>
                  </to>
                </anchor>
              </controlPr>
            </control>
          </mc:Choice>
        </mc:AlternateContent>
        <mc:AlternateContent xmlns:mc="http://schemas.openxmlformats.org/markup-compatibility/2006">
          <mc:Choice Requires="x14">
            <control shapeId="8467" r:id="rId103" name="Option Button 275">
              <controlPr defaultSize="0" autoFill="0" autoLine="0" autoPict="0">
                <anchor moveWithCells="1">
                  <from>
                    <xdr:col>2</xdr:col>
                    <xdr:colOff>190500</xdr:colOff>
                    <xdr:row>113</xdr:row>
                    <xdr:rowOff>38100</xdr:rowOff>
                  </from>
                  <to>
                    <xdr:col>4</xdr:col>
                    <xdr:colOff>163286</xdr:colOff>
                    <xdr:row>115</xdr:row>
                    <xdr:rowOff>0</xdr:rowOff>
                  </to>
                </anchor>
              </controlPr>
            </control>
          </mc:Choice>
        </mc:AlternateContent>
        <mc:AlternateContent xmlns:mc="http://schemas.openxmlformats.org/markup-compatibility/2006">
          <mc:Choice Requires="x14">
            <control shapeId="8468" r:id="rId104" name="Option Button 276">
              <controlPr defaultSize="0" autoFill="0" autoLine="0" autoPict="0">
                <anchor moveWithCells="1">
                  <from>
                    <xdr:col>4</xdr:col>
                    <xdr:colOff>103414</xdr:colOff>
                    <xdr:row>113</xdr:row>
                    <xdr:rowOff>38100</xdr:rowOff>
                  </from>
                  <to>
                    <xdr:col>6</xdr:col>
                    <xdr:colOff>76200</xdr:colOff>
                    <xdr:row>115</xdr:row>
                    <xdr:rowOff>0</xdr:rowOff>
                  </to>
                </anchor>
              </controlPr>
            </control>
          </mc:Choice>
        </mc:AlternateContent>
        <mc:AlternateContent xmlns:mc="http://schemas.openxmlformats.org/markup-compatibility/2006">
          <mc:Choice Requires="x14">
            <control shapeId="8469" r:id="rId105" name="Option Button 277">
              <controlPr defaultSize="0" autoFill="0" autoLine="0" autoPict="0">
                <anchor moveWithCells="1">
                  <from>
                    <xdr:col>5</xdr:col>
                    <xdr:colOff>201386</xdr:colOff>
                    <xdr:row>113</xdr:row>
                    <xdr:rowOff>38100</xdr:rowOff>
                  </from>
                  <to>
                    <xdr:col>7</xdr:col>
                    <xdr:colOff>179614</xdr:colOff>
                    <xdr:row>115</xdr:row>
                    <xdr:rowOff>0</xdr:rowOff>
                  </to>
                </anchor>
              </controlPr>
            </control>
          </mc:Choice>
        </mc:AlternateContent>
        <mc:AlternateContent xmlns:mc="http://schemas.openxmlformats.org/markup-compatibility/2006">
          <mc:Choice Requires="x14">
            <control shapeId="8470" r:id="rId106" name="Group Box 278">
              <controlPr defaultSize="0" print="0" autoFill="0" autoPict="0">
                <anchor moveWithCells="1">
                  <from>
                    <xdr:col>2</xdr:col>
                    <xdr:colOff>141514</xdr:colOff>
                    <xdr:row>127</xdr:row>
                    <xdr:rowOff>10886</xdr:rowOff>
                  </from>
                  <to>
                    <xdr:col>7</xdr:col>
                    <xdr:colOff>190500</xdr:colOff>
                    <xdr:row>129</xdr:row>
                    <xdr:rowOff>10886</xdr:rowOff>
                  </to>
                </anchor>
              </controlPr>
            </control>
          </mc:Choice>
        </mc:AlternateContent>
        <mc:AlternateContent xmlns:mc="http://schemas.openxmlformats.org/markup-compatibility/2006">
          <mc:Choice Requires="x14">
            <control shapeId="8471" r:id="rId107" name="Option Button 279">
              <controlPr defaultSize="0" autoFill="0" autoLine="0" autoPict="0">
                <anchor moveWithCells="1">
                  <from>
                    <xdr:col>2</xdr:col>
                    <xdr:colOff>190500</xdr:colOff>
                    <xdr:row>127</xdr:row>
                    <xdr:rowOff>27214</xdr:rowOff>
                  </from>
                  <to>
                    <xdr:col>4</xdr:col>
                    <xdr:colOff>163286</xdr:colOff>
                    <xdr:row>128</xdr:row>
                    <xdr:rowOff>201386</xdr:rowOff>
                  </to>
                </anchor>
              </controlPr>
            </control>
          </mc:Choice>
        </mc:AlternateContent>
        <mc:AlternateContent xmlns:mc="http://schemas.openxmlformats.org/markup-compatibility/2006">
          <mc:Choice Requires="x14">
            <control shapeId="8472" r:id="rId108" name="Option Button 280">
              <controlPr defaultSize="0" autoFill="0" autoLine="0" autoPict="0">
                <anchor moveWithCells="1">
                  <from>
                    <xdr:col>4</xdr:col>
                    <xdr:colOff>103414</xdr:colOff>
                    <xdr:row>127</xdr:row>
                    <xdr:rowOff>27214</xdr:rowOff>
                  </from>
                  <to>
                    <xdr:col>6</xdr:col>
                    <xdr:colOff>76200</xdr:colOff>
                    <xdr:row>128</xdr:row>
                    <xdr:rowOff>201386</xdr:rowOff>
                  </to>
                </anchor>
              </controlPr>
            </control>
          </mc:Choice>
        </mc:AlternateContent>
        <mc:AlternateContent xmlns:mc="http://schemas.openxmlformats.org/markup-compatibility/2006">
          <mc:Choice Requires="x14">
            <control shapeId="8473" r:id="rId109" name="Option Button 281">
              <controlPr defaultSize="0" autoFill="0" autoLine="0" autoPict="0">
                <anchor moveWithCells="1">
                  <from>
                    <xdr:col>5</xdr:col>
                    <xdr:colOff>201386</xdr:colOff>
                    <xdr:row>127</xdr:row>
                    <xdr:rowOff>27214</xdr:rowOff>
                  </from>
                  <to>
                    <xdr:col>7</xdr:col>
                    <xdr:colOff>179614</xdr:colOff>
                    <xdr:row>128</xdr:row>
                    <xdr:rowOff>201386</xdr:rowOff>
                  </to>
                </anchor>
              </controlPr>
            </control>
          </mc:Choice>
        </mc:AlternateContent>
        <mc:AlternateContent xmlns:mc="http://schemas.openxmlformats.org/markup-compatibility/2006">
          <mc:Choice Requires="x14">
            <control shapeId="8474" r:id="rId110" name="Group Box 282">
              <controlPr defaultSize="0" print="0" autoFill="0" autoPict="0">
                <anchor moveWithCells="1">
                  <from>
                    <xdr:col>2</xdr:col>
                    <xdr:colOff>141514</xdr:colOff>
                    <xdr:row>129</xdr:row>
                    <xdr:rowOff>10886</xdr:rowOff>
                  </from>
                  <to>
                    <xdr:col>7</xdr:col>
                    <xdr:colOff>190500</xdr:colOff>
                    <xdr:row>130</xdr:row>
                    <xdr:rowOff>228600</xdr:rowOff>
                  </to>
                </anchor>
              </controlPr>
            </control>
          </mc:Choice>
        </mc:AlternateContent>
        <mc:AlternateContent xmlns:mc="http://schemas.openxmlformats.org/markup-compatibility/2006">
          <mc:Choice Requires="x14">
            <control shapeId="8475" r:id="rId111" name="Option Button 283">
              <controlPr defaultSize="0" autoFill="0" autoLine="0" autoPict="0">
                <anchor moveWithCells="1">
                  <from>
                    <xdr:col>2</xdr:col>
                    <xdr:colOff>190500</xdr:colOff>
                    <xdr:row>129</xdr:row>
                    <xdr:rowOff>48986</xdr:rowOff>
                  </from>
                  <to>
                    <xdr:col>4</xdr:col>
                    <xdr:colOff>163286</xdr:colOff>
                    <xdr:row>130</xdr:row>
                    <xdr:rowOff>228600</xdr:rowOff>
                  </to>
                </anchor>
              </controlPr>
            </control>
          </mc:Choice>
        </mc:AlternateContent>
        <mc:AlternateContent xmlns:mc="http://schemas.openxmlformats.org/markup-compatibility/2006">
          <mc:Choice Requires="x14">
            <control shapeId="8476" r:id="rId112" name="Option Button 284">
              <controlPr defaultSize="0" autoFill="0" autoLine="0" autoPict="0">
                <anchor moveWithCells="1">
                  <from>
                    <xdr:col>4</xdr:col>
                    <xdr:colOff>103414</xdr:colOff>
                    <xdr:row>129</xdr:row>
                    <xdr:rowOff>48986</xdr:rowOff>
                  </from>
                  <to>
                    <xdr:col>6</xdr:col>
                    <xdr:colOff>76200</xdr:colOff>
                    <xdr:row>130</xdr:row>
                    <xdr:rowOff>228600</xdr:rowOff>
                  </to>
                </anchor>
              </controlPr>
            </control>
          </mc:Choice>
        </mc:AlternateContent>
        <mc:AlternateContent xmlns:mc="http://schemas.openxmlformats.org/markup-compatibility/2006">
          <mc:Choice Requires="x14">
            <control shapeId="8477" r:id="rId113" name="Option Button 285">
              <controlPr defaultSize="0" autoFill="0" autoLine="0" autoPict="0">
                <anchor moveWithCells="1">
                  <from>
                    <xdr:col>5</xdr:col>
                    <xdr:colOff>201386</xdr:colOff>
                    <xdr:row>129</xdr:row>
                    <xdr:rowOff>48986</xdr:rowOff>
                  </from>
                  <to>
                    <xdr:col>7</xdr:col>
                    <xdr:colOff>179614</xdr:colOff>
                    <xdr:row>130</xdr:row>
                    <xdr:rowOff>228600</xdr:rowOff>
                  </to>
                </anchor>
              </controlPr>
            </control>
          </mc:Choice>
        </mc:AlternateContent>
        <mc:AlternateContent xmlns:mc="http://schemas.openxmlformats.org/markup-compatibility/2006">
          <mc:Choice Requires="x14">
            <control shapeId="8492" r:id="rId114" name="Group Box 300">
              <controlPr defaultSize="0" print="0" autoFill="0" autoPict="0">
                <anchor moveWithCells="1">
                  <from>
                    <xdr:col>2</xdr:col>
                    <xdr:colOff>141514</xdr:colOff>
                    <xdr:row>123</xdr:row>
                    <xdr:rowOff>10886</xdr:rowOff>
                  </from>
                  <to>
                    <xdr:col>7</xdr:col>
                    <xdr:colOff>190500</xdr:colOff>
                    <xdr:row>125</xdr:row>
                    <xdr:rowOff>10886</xdr:rowOff>
                  </to>
                </anchor>
              </controlPr>
            </control>
          </mc:Choice>
        </mc:AlternateContent>
        <mc:AlternateContent xmlns:mc="http://schemas.openxmlformats.org/markup-compatibility/2006">
          <mc:Choice Requires="x14">
            <control shapeId="8493" r:id="rId115" name="Option Button 301">
              <controlPr defaultSize="0" autoFill="0" autoLine="0" autoPict="0">
                <anchor moveWithCells="1">
                  <from>
                    <xdr:col>2</xdr:col>
                    <xdr:colOff>190500</xdr:colOff>
                    <xdr:row>123</xdr:row>
                    <xdr:rowOff>38100</xdr:rowOff>
                  </from>
                  <to>
                    <xdr:col>4</xdr:col>
                    <xdr:colOff>163286</xdr:colOff>
                    <xdr:row>125</xdr:row>
                    <xdr:rowOff>0</xdr:rowOff>
                  </to>
                </anchor>
              </controlPr>
            </control>
          </mc:Choice>
        </mc:AlternateContent>
        <mc:AlternateContent xmlns:mc="http://schemas.openxmlformats.org/markup-compatibility/2006">
          <mc:Choice Requires="x14">
            <control shapeId="8494" r:id="rId116" name="Option Button 302">
              <controlPr defaultSize="0" autoFill="0" autoLine="0" autoPict="0">
                <anchor moveWithCells="1">
                  <from>
                    <xdr:col>4</xdr:col>
                    <xdr:colOff>103414</xdr:colOff>
                    <xdr:row>123</xdr:row>
                    <xdr:rowOff>38100</xdr:rowOff>
                  </from>
                  <to>
                    <xdr:col>6</xdr:col>
                    <xdr:colOff>76200</xdr:colOff>
                    <xdr:row>125</xdr:row>
                    <xdr:rowOff>0</xdr:rowOff>
                  </to>
                </anchor>
              </controlPr>
            </control>
          </mc:Choice>
        </mc:AlternateContent>
        <mc:AlternateContent xmlns:mc="http://schemas.openxmlformats.org/markup-compatibility/2006">
          <mc:Choice Requires="x14">
            <control shapeId="8495" r:id="rId117" name="Option Button 303">
              <controlPr defaultSize="0" autoFill="0" autoLine="0" autoPict="0">
                <anchor moveWithCells="1">
                  <from>
                    <xdr:col>5</xdr:col>
                    <xdr:colOff>201386</xdr:colOff>
                    <xdr:row>123</xdr:row>
                    <xdr:rowOff>38100</xdr:rowOff>
                  </from>
                  <to>
                    <xdr:col>7</xdr:col>
                    <xdr:colOff>179614</xdr:colOff>
                    <xdr:row>125</xdr:row>
                    <xdr:rowOff>0</xdr:rowOff>
                  </to>
                </anchor>
              </controlPr>
            </control>
          </mc:Choice>
        </mc:AlternateContent>
        <mc:AlternateContent xmlns:mc="http://schemas.openxmlformats.org/markup-compatibility/2006">
          <mc:Choice Requires="x14">
            <control shapeId="8496" r:id="rId118" name="Group Box 304">
              <controlPr defaultSize="0" print="0" autoFill="0" autoPict="0">
                <anchor moveWithCells="1">
                  <from>
                    <xdr:col>2</xdr:col>
                    <xdr:colOff>141514</xdr:colOff>
                    <xdr:row>125</xdr:row>
                    <xdr:rowOff>10886</xdr:rowOff>
                  </from>
                  <to>
                    <xdr:col>7</xdr:col>
                    <xdr:colOff>190500</xdr:colOff>
                    <xdr:row>126</xdr:row>
                    <xdr:rowOff>228600</xdr:rowOff>
                  </to>
                </anchor>
              </controlPr>
            </control>
          </mc:Choice>
        </mc:AlternateContent>
        <mc:AlternateContent xmlns:mc="http://schemas.openxmlformats.org/markup-compatibility/2006">
          <mc:Choice Requires="x14">
            <control shapeId="8497" r:id="rId119" name="Option Button 305">
              <controlPr defaultSize="0" autoFill="0" autoLine="0" autoPict="0">
                <anchor moveWithCells="1">
                  <from>
                    <xdr:col>2</xdr:col>
                    <xdr:colOff>190500</xdr:colOff>
                    <xdr:row>125</xdr:row>
                    <xdr:rowOff>48986</xdr:rowOff>
                  </from>
                  <to>
                    <xdr:col>4</xdr:col>
                    <xdr:colOff>163286</xdr:colOff>
                    <xdr:row>126</xdr:row>
                    <xdr:rowOff>228600</xdr:rowOff>
                  </to>
                </anchor>
              </controlPr>
            </control>
          </mc:Choice>
        </mc:AlternateContent>
        <mc:AlternateContent xmlns:mc="http://schemas.openxmlformats.org/markup-compatibility/2006">
          <mc:Choice Requires="x14">
            <control shapeId="8498" r:id="rId120" name="Option Button 306">
              <controlPr defaultSize="0" autoFill="0" autoLine="0" autoPict="0">
                <anchor moveWithCells="1">
                  <from>
                    <xdr:col>4</xdr:col>
                    <xdr:colOff>103414</xdr:colOff>
                    <xdr:row>125</xdr:row>
                    <xdr:rowOff>48986</xdr:rowOff>
                  </from>
                  <to>
                    <xdr:col>6</xdr:col>
                    <xdr:colOff>76200</xdr:colOff>
                    <xdr:row>126</xdr:row>
                    <xdr:rowOff>228600</xdr:rowOff>
                  </to>
                </anchor>
              </controlPr>
            </control>
          </mc:Choice>
        </mc:AlternateContent>
        <mc:AlternateContent xmlns:mc="http://schemas.openxmlformats.org/markup-compatibility/2006">
          <mc:Choice Requires="x14">
            <control shapeId="8499" r:id="rId121" name="Option Button 307">
              <controlPr defaultSize="0" autoFill="0" autoLine="0" autoPict="0">
                <anchor moveWithCells="1">
                  <from>
                    <xdr:col>5</xdr:col>
                    <xdr:colOff>201386</xdr:colOff>
                    <xdr:row>125</xdr:row>
                    <xdr:rowOff>48986</xdr:rowOff>
                  </from>
                  <to>
                    <xdr:col>7</xdr:col>
                    <xdr:colOff>179614</xdr:colOff>
                    <xdr:row>126</xdr:row>
                    <xdr:rowOff>228600</xdr:rowOff>
                  </to>
                </anchor>
              </controlPr>
            </control>
          </mc:Choice>
        </mc:AlternateContent>
        <mc:AlternateContent xmlns:mc="http://schemas.openxmlformats.org/markup-compatibility/2006">
          <mc:Choice Requires="x14">
            <control shapeId="8506" r:id="rId122" name="Group Box 314">
              <controlPr defaultSize="0" print="0" autoFill="0" autoPict="0">
                <anchor moveWithCells="1">
                  <from>
                    <xdr:col>2</xdr:col>
                    <xdr:colOff>141514</xdr:colOff>
                    <xdr:row>90</xdr:row>
                    <xdr:rowOff>10886</xdr:rowOff>
                  </from>
                  <to>
                    <xdr:col>7</xdr:col>
                    <xdr:colOff>190500</xdr:colOff>
                    <xdr:row>92</xdr:row>
                    <xdr:rowOff>10886</xdr:rowOff>
                  </to>
                </anchor>
              </controlPr>
            </control>
          </mc:Choice>
        </mc:AlternateContent>
        <mc:AlternateContent xmlns:mc="http://schemas.openxmlformats.org/markup-compatibility/2006">
          <mc:Choice Requires="x14">
            <control shapeId="8507" r:id="rId123" name="Option Button 315">
              <controlPr defaultSize="0" autoFill="0" autoLine="0" autoPict="0">
                <anchor moveWithCells="1">
                  <from>
                    <xdr:col>2</xdr:col>
                    <xdr:colOff>190500</xdr:colOff>
                    <xdr:row>90</xdr:row>
                    <xdr:rowOff>27214</xdr:rowOff>
                  </from>
                  <to>
                    <xdr:col>4</xdr:col>
                    <xdr:colOff>163286</xdr:colOff>
                    <xdr:row>91</xdr:row>
                    <xdr:rowOff>201386</xdr:rowOff>
                  </to>
                </anchor>
              </controlPr>
            </control>
          </mc:Choice>
        </mc:AlternateContent>
        <mc:AlternateContent xmlns:mc="http://schemas.openxmlformats.org/markup-compatibility/2006">
          <mc:Choice Requires="x14">
            <control shapeId="8508" r:id="rId124" name="Option Button 316">
              <controlPr defaultSize="0" autoFill="0" autoLine="0" autoPict="0">
                <anchor moveWithCells="1">
                  <from>
                    <xdr:col>4</xdr:col>
                    <xdr:colOff>103414</xdr:colOff>
                    <xdr:row>90</xdr:row>
                    <xdr:rowOff>27214</xdr:rowOff>
                  </from>
                  <to>
                    <xdr:col>6</xdr:col>
                    <xdr:colOff>76200</xdr:colOff>
                    <xdr:row>91</xdr:row>
                    <xdr:rowOff>201386</xdr:rowOff>
                  </to>
                </anchor>
              </controlPr>
            </control>
          </mc:Choice>
        </mc:AlternateContent>
        <mc:AlternateContent xmlns:mc="http://schemas.openxmlformats.org/markup-compatibility/2006">
          <mc:Choice Requires="x14">
            <control shapeId="8509" r:id="rId125" name="Option Button 317">
              <controlPr defaultSize="0" autoFill="0" autoLine="0" autoPict="0">
                <anchor moveWithCells="1">
                  <from>
                    <xdr:col>5</xdr:col>
                    <xdr:colOff>201386</xdr:colOff>
                    <xdr:row>90</xdr:row>
                    <xdr:rowOff>27214</xdr:rowOff>
                  </from>
                  <to>
                    <xdr:col>7</xdr:col>
                    <xdr:colOff>179614</xdr:colOff>
                    <xdr:row>91</xdr:row>
                    <xdr:rowOff>201386</xdr:rowOff>
                  </to>
                </anchor>
              </controlPr>
            </control>
          </mc:Choice>
        </mc:AlternateContent>
        <mc:AlternateContent xmlns:mc="http://schemas.openxmlformats.org/markup-compatibility/2006">
          <mc:Choice Requires="x14">
            <control shapeId="8510" r:id="rId126" name="Group Box 318">
              <controlPr defaultSize="0" print="0" autoFill="0" autoPict="0">
                <anchor moveWithCells="1">
                  <from>
                    <xdr:col>2</xdr:col>
                    <xdr:colOff>141514</xdr:colOff>
                    <xdr:row>92</xdr:row>
                    <xdr:rowOff>10886</xdr:rowOff>
                  </from>
                  <to>
                    <xdr:col>7</xdr:col>
                    <xdr:colOff>190500</xdr:colOff>
                    <xdr:row>93</xdr:row>
                    <xdr:rowOff>228600</xdr:rowOff>
                  </to>
                </anchor>
              </controlPr>
            </control>
          </mc:Choice>
        </mc:AlternateContent>
        <mc:AlternateContent xmlns:mc="http://schemas.openxmlformats.org/markup-compatibility/2006">
          <mc:Choice Requires="x14">
            <control shapeId="8511" r:id="rId127" name="Option Button 319">
              <controlPr defaultSize="0" autoFill="0" autoLine="0" autoPict="0">
                <anchor moveWithCells="1">
                  <from>
                    <xdr:col>2</xdr:col>
                    <xdr:colOff>190500</xdr:colOff>
                    <xdr:row>92</xdr:row>
                    <xdr:rowOff>48986</xdr:rowOff>
                  </from>
                  <to>
                    <xdr:col>4</xdr:col>
                    <xdr:colOff>163286</xdr:colOff>
                    <xdr:row>93</xdr:row>
                    <xdr:rowOff>228600</xdr:rowOff>
                  </to>
                </anchor>
              </controlPr>
            </control>
          </mc:Choice>
        </mc:AlternateContent>
        <mc:AlternateContent xmlns:mc="http://schemas.openxmlformats.org/markup-compatibility/2006">
          <mc:Choice Requires="x14">
            <control shapeId="8512" r:id="rId128" name="Option Button 320">
              <controlPr defaultSize="0" autoFill="0" autoLine="0" autoPict="0">
                <anchor moveWithCells="1">
                  <from>
                    <xdr:col>4</xdr:col>
                    <xdr:colOff>103414</xdr:colOff>
                    <xdr:row>92</xdr:row>
                    <xdr:rowOff>48986</xdr:rowOff>
                  </from>
                  <to>
                    <xdr:col>6</xdr:col>
                    <xdr:colOff>76200</xdr:colOff>
                    <xdr:row>93</xdr:row>
                    <xdr:rowOff>228600</xdr:rowOff>
                  </to>
                </anchor>
              </controlPr>
            </control>
          </mc:Choice>
        </mc:AlternateContent>
        <mc:AlternateContent xmlns:mc="http://schemas.openxmlformats.org/markup-compatibility/2006">
          <mc:Choice Requires="x14">
            <control shapeId="8513" r:id="rId129" name="Option Button 321">
              <controlPr defaultSize="0" autoFill="0" autoLine="0" autoPict="0">
                <anchor moveWithCells="1">
                  <from>
                    <xdr:col>5</xdr:col>
                    <xdr:colOff>201386</xdr:colOff>
                    <xdr:row>92</xdr:row>
                    <xdr:rowOff>48986</xdr:rowOff>
                  </from>
                  <to>
                    <xdr:col>7</xdr:col>
                    <xdr:colOff>179614</xdr:colOff>
                    <xdr:row>93</xdr:row>
                    <xdr:rowOff>228600</xdr:rowOff>
                  </to>
                </anchor>
              </controlPr>
            </control>
          </mc:Choice>
        </mc:AlternateContent>
        <mc:AlternateContent xmlns:mc="http://schemas.openxmlformats.org/markup-compatibility/2006">
          <mc:Choice Requires="x14">
            <control shapeId="8514" r:id="rId130" name="Group Box 322">
              <controlPr defaultSize="0" print="0" autoFill="0" autoPict="0">
                <anchor moveWithCells="1">
                  <from>
                    <xdr:col>2</xdr:col>
                    <xdr:colOff>141514</xdr:colOff>
                    <xdr:row>86</xdr:row>
                    <xdr:rowOff>10886</xdr:rowOff>
                  </from>
                  <to>
                    <xdr:col>7</xdr:col>
                    <xdr:colOff>190500</xdr:colOff>
                    <xdr:row>87</xdr:row>
                    <xdr:rowOff>228600</xdr:rowOff>
                  </to>
                </anchor>
              </controlPr>
            </control>
          </mc:Choice>
        </mc:AlternateContent>
        <mc:AlternateContent xmlns:mc="http://schemas.openxmlformats.org/markup-compatibility/2006">
          <mc:Choice Requires="x14">
            <control shapeId="8515" r:id="rId131" name="Option Button 323">
              <controlPr defaultSize="0" autoFill="0" autoLine="0" autoPict="0">
                <anchor moveWithCells="1">
                  <from>
                    <xdr:col>2</xdr:col>
                    <xdr:colOff>190500</xdr:colOff>
                    <xdr:row>86</xdr:row>
                    <xdr:rowOff>38100</xdr:rowOff>
                  </from>
                  <to>
                    <xdr:col>4</xdr:col>
                    <xdr:colOff>163286</xdr:colOff>
                    <xdr:row>87</xdr:row>
                    <xdr:rowOff>217714</xdr:rowOff>
                  </to>
                </anchor>
              </controlPr>
            </control>
          </mc:Choice>
        </mc:AlternateContent>
        <mc:AlternateContent xmlns:mc="http://schemas.openxmlformats.org/markup-compatibility/2006">
          <mc:Choice Requires="x14">
            <control shapeId="8516" r:id="rId132" name="Option Button 324">
              <controlPr defaultSize="0" autoFill="0" autoLine="0" autoPict="0">
                <anchor moveWithCells="1">
                  <from>
                    <xdr:col>4</xdr:col>
                    <xdr:colOff>103414</xdr:colOff>
                    <xdr:row>86</xdr:row>
                    <xdr:rowOff>38100</xdr:rowOff>
                  </from>
                  <to>
                    <xdr:col>6</xdr:col>
                    <xdr:colOff>76200</xdr:colOff>
                    <xdr:row>87</xdr:row>
                    <xdr:rowOff>217714</xdr:rowOff>
                  </to>
                </anchor>
              </controlPr>
            </control>
          </mc:Choice>
        </mc:AlternateContent>
        <mc:AlternateContent xmlns:mc="http://schemas.openxmlformats.org/markup-compatibility/2006">
          <mc:Choice Requires="x14">
            <control shapeId="8517" r:id="rId133" name="Option Button 325">
              <controlPr defaultSize="0" autoFill="0" autoLine="0" autoPict="0">
                <anchor moveWithCells="1">
                  <from>
                    <xdr:col>5</xdr:col>
                    <xdr:colOff>201386</xdr:colOff>
                    <xdr:row>86</xdr:row>
                    <xdr:rowOff>38100</xdr:rowOff>
                  </from>
                  <to>
                    <xdr:col>7</xdr:col>
                    <xdr:colOff>179614</xdr:colOff>
                    <xdr:row>87</xdr:row>
                    <xdr:rowOff>217714</xdr:rowOff>
                  </to>
                </anchor>
              </controlPr>
            </control>
          </mc:Choice>
        </mc:AlternateContent>
        <mc:AlternateContent xmlns:mc="http://schemas.openxmlformats.org/markup-compatibility/2006">
          <mc:Choice Requires="x14">
            <control shapeId="8518" r:id="rId134" name="Group Box 326">
              <controlPr defaultSize="0" print="0" autoFill="0" autoPict="0">
                <anchor moveWithCells="1">
                  <from>
                    <xdr:col>2</xdr:col>
                    <xdr:colOff>141514</xdr:colOff>
                    <xdr:row>88</xdr:row>
                    <xdr:rowOff>10886</xdr:rowOff>
                  </from>
                  <to>
                    <xdr:col>7</xdr:col>
                    <xdr:colOff>190500</xdr:colOff>
                    <xdr:row>89</xdr:row>
                    <xdr:rowOff>228600</xdr:rowOff>
                  </to>
                </anchor>
              </controlPr>
            </control>
          </mc:Choice>
        </mc:AlternateContent>
        <mc:AlternateContent xmlns:mc="http://schemas.openxmlformats.org/markup-compatibility/2006">
          <mc:Choice Requires="x14">
            <control shapeId="8519" r:id="rId135" name="Option Button 327">
              <controlPr defaultSize="0" autoFill="0" autoLine="0" autoPict="0">
                <anchor moveWithCells="1">
                  <from>
                    <xdr:col>2</xdr:col>
                    <xdr:colOff>190500</xdr:colOff>
                    <xdr:row>88</xdr:row>
                    <xdr:rowOff>48986</xdr:rowOff>
                  </from>
                  <to>
                    <xdr:col>4</xdr:col>
                    <xdr:colOff>163286</xdr:colOff>
                    <xdr:row>89</xdr:row>
                    <xdr:rowOff>228600</xdr:rowOff>
                  </to>
                </anchor>
              </controlPr>
            </control>
          </mc:Choice>
        </mc:AlternateContent>
        <mc:AlternateContent xmlns:mc="http://schemas.openxmlformats.org/markup-compatibility/2006">
          <mc:Choice Requires="x14">
            <control shapeId="8520" r:id="rId136" name="Option Button 328">
              <controlPr defaultSize="0" autoFill="0" autoLine="0" autoPict="0">
                <anchor moveWithCells="1">
                  <from>
                    <xdr:col>4</xdr:col>
                    <xdr:colOff>103414</xdr:colOff>
                    <xdr:row>88</xdr:row>
                    <xdr:rowOff>48986</xdr:rowOff>
                  </from>
                  <to>
                    <xdr:col>6</xdr:col>
                    <xdr:colOff>76200</xdr:colOff>
                    <xdr:row>89</xdr:row>
                    <xdr:rowOff>228600</xdr:rowOff>
                  </to>
                </anchor>
              </controlPr>
            </control>
          </mc:Choice>
        </mc:AlternateContent>
        <mc:AlternateContent xmlns:mc="http://schemas.openxmlformats.org/markup-compatibility/2006">
          <mc:Choice Requires="x14">
            <control shapeId="8521" r:id="rId137" name="Option Button 329">
              <controlPr defaultSize="0" autoFill="0" autoLine="0" autoPict="0">
                <anchor moveWithCells="1">
                  <from>
                    <xdr:col>5</xdr:col>
                    <xdr:colOff>201386</xdr:colOff>
                    <xdr:row>88</xdr:row>
                    <xdr:rowOff>48986</xdr:rowOff>
                  </from>
                  <to>
                    <xdr:col>7</xdr:col>
                    <xdr:colOff>179614</xdr:colOff>
                    <xdr:row>89</xdr:row>
                    <xdr:rowOff>228600</xdr:rowOff>
                  </to>
                </anchor>
              </controlPr>
            </control>
          </mc:Choice>
        </mc:AlternateContent>
        <mc:AlternateContent xmlns:mc="http://schemas.openxmlformats.org/markup-compatibility/2006">
          <mc:Choice Requires="x14">
            <control shapeId="8522" r:id="rId138" name="Group Box 330">
              <controlPr defaultSize="0" print="0" autoFill="0" autoPict="0">
                <anchor moveWithCells="1">
                  <from>
                    <xdr:col>2</xdr:col>
                    <xdr:colOff>141514</xdr:colOff>
                    <xdr:row>98</xdr:row>
                    <xdr:rowOff>10886</xdr:rowOff>
                  </from>
                  <to>
                    <xdr:col>7</xdr:col>
                    <xdr:colOff>190500</xdr:colOff>
                    <xdr:row>99</xdr:row>
                    <xdr:rowOff>228600</xdr:rowOff>
                  </to>
                </anchor>
              </controlPr>
            </control>
          </mc:Choice>
        </mc:AlternateContent>
        <mc:AlternateContent xmlns:mc="http://schemas.openxmlformats.org/markup-compatibility/2006">
          <mc:Choice Requires="x14">
            <control shapeId="8523" r:id="rId139" name="Option Button 331">
              <controlPr defaultSize="0" autoFill="0" autoLine="0" autoPict="0">
                <anchor moveWithCells="1">
                  <from>
                    <xdr:col>2</xdr:col>
                    <xdr:colOff>190500</xdr:colOff>
                    <xdr:row>98</xdr:row>
                    <xdr:rowOff>48986</xdr:rowOff>
                  </from>
                  <to>
                    <xdr:col>4</xdr:col>
                    <xdr:colOff>163286</xdr:colOff>
                    <xdr:row>99</xdr:row>
                    <xdr:rowOff>228600</xdr:rowOff>
                  </to>
                </anchor>
              </controlPr>
            </control>
          </mc:Choice>
        </mc:AlternateContent>
        <mc:AlternateContent xmlns:mc="http://schemas.openxmlformats.org/markup-compatibility/2006">
          <mc:Choice Requires="x14">
            <control shapeId="8524" r:id="rId140" name="Option Button 332">
              <controlPr defaultSize="0" autoFill="0" autoLine="0" autoPict="0">
                <anchor moveWithCells="1">
                  <from>
                    <xdr:col>4</xdr:col>
                    <xdr:colOff>103414</xdr:colOff>
                    <xdr:row>98</xdr:row>
                    <xdr:rowOff>38100</xdr:rowOff>
                  </from>
                  <to>
                    <xdr:col>6</xdr:col>
                    <xdr:colOff>76200</xdr:colOff>
                    <xdr:row>99</xdr:row>
                    <xdr:rowOff>217714</xdr:rowOff>
                  </to>
                </anchor>
              </controlPr>
            </control>
          </mc:Choice>
        </mc:AlternateContent>
        <mc:AlternateContent xmlns:mc="http://schemas.openxmlformats.org/markup-compatibility/2006">
          <mc:Choice Requires="x14">
            <control shapeId="8525" r:id="rId141" name="Option Button 333">
              <controlPr defaultSize="0" autoFill="0" autoLine="0" autoPict="0">
                <anchor moveWithCells="1">
                  <from>
                    <xdr:col>5</xdr:col>
                    <xdr:colOff>201386</xdr:colOff>
                    <xdr:row>98</xdr:row>
                    <xdr:rowOff>38100</xdr:rowOff>
                  </from>
                  <to>
                    <xdr:col>7</xdr:col>
                    <xdr:colOff>179614</xdr:colOff>
                    <xdr:row>99</xdr:row>
                    <xdr:rowOff>217714</xdr:rowOff>
                  </to>
                </anchor>
              </controlPr>
            </control>
          </mc:Choice>
        </mc:AlternateContent>
        <mc:AlternateContent xmlns:mc="http://schemas.openxmlformats.org/markup-compatibility/2006">
          <mc:Choice Requires="x14">
            <control shapeId="8526" r:id="rId142" name="Group Box 334">
              <controlPr defaultSize="0" print="0" autoFill="0" autoPict="0">
                <anchor moveWithCells="1">
                  <from>
                    <xdr:col>2</xdr:col>
                    <xdr:colOff>141514</xdr:colOff>
                    <xdr:row>96</xdr:row>
                    <xdr:rowOff>10886</xdr:rowOff>
                  </from>
                  <to>
                    <xdr:col>7</xdr:col>
                    <xdr:colOff>190500</xdr:colOff>
                    <xdr:row>98</xdr:row>
                    <xdr:rowOff>10886</xdr:rowOff>
                  </to>
                </anchor>
              </controlPr>
            </control>
          </mc:Choice>
        </mc:AlternateContent>
        <mc:AlternateContent xmlns:mc="http://schemas.openxmlformats.org/markup-compatibility/2006">
          <mc:Choice Requires="x14">
            <control shapeId="8527" r:id="rId143" name="Option Button 335">
              <controlPr defaultSize="0" autoFill="0" autoLine="0" autoPict="0">
                <anchor moveWithCells="1">
                  <from>
                    <xdr:col>2</xdr:col>
                    <xdr:colOff>190500</xdr:colOff>
                    <xdr:row>96</xdr:row>
                    <xdr:rowOff>38100</xdr:rowOff>
                  </from>
                  <to>
                    <xdr:col>4</xdr:col>
                    <xdr:colOff>163286</xdr:colOff>
                    <xdr:row>98</xdr:row>
                    <xdr:rowOff>0</xdr:rowOff>
                  </to>
                </anchor>
              </controlPr>
            </control>
          </mc:Choice>
        </mc:AlternateContent>
        <mc:AlternateContent xmlns:mc="http://schemas.openxmlformats.org/markup-compatibility/2006">
          <mc:Choice Requires="x14">
            <control shapeId="8528" r:id="rId144" name="Option Button 336">
              <controlPr defaultSize="0" autoFill="0" autoLine="0" autoPict="0">
                <anchor moveWithCells="1">
                  <from>
                    <xdr:col>4</xdr:col>
                    <xdr:colOff>103414</xdr:colOff>
                    <xdr:row>96</xdr:row>
                    <xdr:rowOff>38100</xdr:rowOff>
                  </from>
                  <to>
                    <xdr:col>6</xdr:col>
                    <xdr:colOff>76200</xdr:colOff>
                    <xdr:row>98</xdr:row>
                    <xdr:rowOff>0</xdr:rowOff>
                  </to>
                </anchor>
              </controlPr>
            </control>
          </mc:Choice>
        </mc:AlternateContent>
        <mc:AlternateContent xmlns:mc="http://schemas.openxmlformats.org/markup-compatibility/2006">
          <mc:Choice Requires="x14">
            <control shapeId="8529" r:id="rId145" name="Option Button 337">
              <controlPr defaultSize="0" autoFill="0" autoLine="0" autoPict="0">
                <anchor moveWithCells="1">
                  <from>
                    <xdr:col>5</xdr:col>
                    <xdr:colOff>201386</xdr:colOff>
                    <xdr:row>96</xdr:row>
                    <xdr:rowOff>38100</xdr:rowOff>
                  </from>
                  <to>
                    <xdr:col>7</xdr:col>
                    <xdr:colOff>179614</xdr:colOff>
                    <xdr:row>98</xdr:row>
                    <xdr:rowOff>0</xdr:rowOff>
                  </to>
                </anchor>
              </controlPr>
            </control>
          </mc:Choice>
        </mc:AlternateContent>
        <mc:AlternateContent xmlns:mc="http://schemas.openxmlformats.org/markup-compatibility/2006">
          <mc:Choice Requires="x14">
            <control shapeId="8530" r:id="rId146" name="Group Box 338">
              <controlPr defaultSize="0" print="0" autoFill="0" autoPict="0">
                <anchor moveWithCells="1">
                  <from>
                    <xdr:col>2</xdr:col>
                    <xdr:colOff>141514</xdr:colOff>
                    <xdr:row>102</xdr:row>
                    <xdr:rowOff>10886</xdr:rowOff>
                  </from>
                  <to>
                    <xdr:col>7</xdr:col>
                    <xdr:colOff>190500</xdr:colOff>
                    <xdr:row>104</xdr:row>
                    <xdr:rowOff>10886</xdr:rowOff>
                  </to>
                </anchor>
              </controlPr>
            </control>
          </mc:Choice>
        </mc:AlternateContent>
        <mc:AlternateContent xmlns:mc="http://schemas.openxmlformats.org/markup-compatibility/2006">
          <mc:Choice Requires="x14">
            <control shapeId="8531" r:id="rId147" name="Option Button 339">
              <controlPr defaultSize="0" autoFill="0" autoLine="0" autoPict="0">
                <anchor moveWithCells="1">
                  <from>
                    <xdr:col>2</xdr:col>
                    <xdr:colOff>190500</xdr:colOff>
                    <xdr:row>102</xdr:row>
                    <xdr:rowOff>38100</xdr:rowOff>
                  </from>
                  <to>
                    <xdr:col>4</xdr:col>
                    <xdr:colOff>163286</xdr:colOff>
                    <xdr:row>104</xdr:row>
                    <xdr:rowOff>0</xdr:rowOff>
                  </to>
                </anchor>
              </controlPr>
            </control>
          </mc:Choice>
        </mc:AlternateContent>
        <mc:AlternateContent xmlns:mc="http://schemas.openxmlformats.org/markup-compatibility/2006">
          <mc:Choice Requires="x14">
            <control shapeId="8532" r:id="rId148" name="Option Button 340">
              <controlPr defaultSize="0" autoFill="0" autoLine="0" autoPict="0">
                <anchor moveWithCells="1">
                  <from>
                    <xdr:col>4</xdr:col>
                    <xdr:colOff>103414</xdr:colOff>
                    <xdr:row>102</xdr:row>
                    <xdr:rowOff>38100</xdr:rowOff>
                  </from>
                  <to>
                    <xdr:col>6</xdr:col>
                    <xdr:colOff>76200</xdr:colOff>
                    <xdr:row>104</xdr:row>
                    <xdr:rowOff>0</xdr:rowOff>
                  </to>
                </anchor>
              </controlPr>
            </control>
          </mc:Choice>
        </mc:AlternateContent>
        <mc:AlternateContent xmlns:mc="http://schemas.openxmlformats.org/markup-compatibility/2006">
          <mc:Choice Requires="x14">
            <control shapeId="8533" r:id="rId149" name="Option Button 341">
              <controlPr defaultSize="0" autoFill="0" autoLine="0" autoPict="0">
                <anchor moveWithCells="1">
                  <from>
                    <xdr:col>5</xdr:col>
                    <xdr:colOff>201386</xdr:colOff>
                    <xdr:row>102</xdr:row>
                    <xdr:rowOff>38100</xdr:rowOff>
                  </from>
                  <to>
                    <xdr:col>7</xdr:col>
                    <xdr:colOff>179614</xdr:colOff>
                    <xdr:row>104</xdr:row>
                    <xdr:rowOff>0</xdr:rowOff>
                  </to>
                </anchor>
              </controlPr>
            </control>
          </mc:Choice>
        </mc:AlternateContent>
        <mc:AlternateContent xmlns:mc="http://schemas.openxmlformats.org/markup-compatibility/2006">
          <mc:Choice Requires="x14">
            <control shapeId="8534" r:id="rId150" name="Group Box 342">
              <controlPr defaultSize="0" print="0" autoFill="0" autoPict="0">
                <anchor moveWithCells="1">
                  <from>
                    <xdr:col>2</xdr:col>
                    <xdr:colOff>141514</xdr:colOff>
                    <xdr:row>71</xdr:row>
                    <xdr:rowOff>10886</xdr:rowOff>
                  </from>
                  <to>
                    <xdr:col>7</xdr:col>
                    <xdr:colOff>190500</xdr:colOff>
                    <xdr:row>73</xdr:row>
                    <xdr:rowOff>10886</xdr:rowOff>
                  </to>
                </anchor>
              </controlPr>
            </control>
          </mc:Choice>
        </mc:AlternateContent>
        <mc:AlternateContent xmlns:mc="http://schemas.openxmlformats.org/markup-compatibility/2006">
          <mc:Choice Requires="x14">
            <control shapeId="8535" r:id="rId151" name="Option Button 343">
              <controlPr defaultSize="0" autoFill="0" autoLine="0" autoPict="0">
                <anchor moveWithCells="1">
                  <from>
                    <xdr:col>2</xdr:col>
                    <xdr:colOff>190500</xdr:colOff>
                    <xdr:row>71</xdr:row>
                    <xdr:rowOff>27214</xdr:rowOff>
                  </from>
                  <to>
                    <xdr:col>4</xdr:col>
                    <xdr:colOff>163286</xdr:colOff>
                    <xdr:row>72</xdr:row>
                    <xdr:rowOff>201386</xdr:rowOff>
                  </to>
                </anchor>
              </controlPr>
            </control>
          </mc:Choice>
        </mc:AlternateContent>
        <mc:AlternateContent xmlns:mc="http://schemas.openxmlformats.org/markup-compatibility/2006">
          <mc:Choice Requires="x14">
            <control shapeId="8536" r:id="rId152" name="Option Button 344">
              <controlPr defaultSize="0" autoFill="0" autoLine="0" autoPict="0">
                <anchor moveWithCells="1">
                  <from>
                    <xdr:col>4</xdr:col>
                    <xdr:colOff>103414</xdr:colOff>
                    <xdr:row>71</xdr:row>
                    <xdr:rowOff>27214</xdr:rowOff>
                  </from>
                  <to>
                    <xdr:col>6</xdr:col>
                    <xdr:colOff>76200</xdr:colOff>
                    <xdr:row>72</xdr:row>
                    <xdr:rowOff>201386</xdr:rowOff>
                  </to>
                </anchor>
              </controlPr>
            </control>
          </mc:Choice>
        </mc:AlternateContent>
        <mc:AlternateContent xmlns:mc="http://schemas.openxmlformats.org/markup-compatibility/2006">
          <mc:Choice Requires="x14">
            <control shapeId="8538" r:id="rId153" name="Group Box 346">
              <controlPr defaultSize="0" print="0" autoFill="0" autoPict="0">
                <anchor moveWithCells="1">
                  <from>
                    <xdr:col>2</xdr:col>
                    <xdr:colOff>141514</xdr:colOff>
                    <xdr:row>73</xdr:row>
                    <xdr:rowOff>10886</xdr:rowOff>
                  </from>
                  <to>
                    <xdr:col>7</xdr:col>
                    <xdr:colOff>190500</xdr:colOff>
                    <xdr:row>75</xdr:row>
                    <xdr:rowOff>10886</xdr:rowOff>
                  </to>
                </anchor>
              </controlPr>
            </control>
          </mc:Choice>
        </mc:AlternateContent>
        <mc:AlternateContent xmlns:mc="http://schemas.openxmlformats.org/markup-compatibility/2006">
          <mc:Choice Requires="x14">
            <control shapeId="8539" r:id="rId154" name="Option Button 347">
              <controlPr defaultSize="0" autoFill="0" autoLine="0" autoPict="0">
                <anchor moveWithCells="1">
                  <from>
                    <xdr:col>2</xdr:col>
                    <xdr:colOff>190500</xdr:colOff>
                    <xdr:row>73</xdr:row>
                    <xdr:rowOff>48986</xdr:rowOff>
                  </from>
                  <to>
                    <xdr:col>4</xdr:col>
                    <xdr:colOff>163286</xdr:colOff>
                    <xdr:row>75</xdr:row>
                    <xdr:rowOff>10886</xdr:rowOff>
                  </to>
                </anchor>
              </controlPr>
            </control>
          </mc:Choice>
        </mc:AlternateContent>
        <mc:AlternateContent xmlns:mc="http://schemas.openxmlformats.org/markup-compatibility/2006">
          <mc:Choice Requires="x14">
            <control shapeId="8540" r:id="rId155" name="Option Button 348">
              <controlPr defaultSize="0" autoFill="0" autoLine="0" autoPict="0">
                <anchor moveWithCells="1">
                  <from>
                    <xdr:col>4</xdr:col>
                    <xdr:colOff>103414</xdr:colOff>
                    <xdr:row>73</xdr:row>
                    <xdr:rowOff>48986</xdr:rowOff>
                  </from>
                  <to>
                    <xdr:col>6</xdr:col>
                    <xdr:colOff>76200</xdr:colOff>
                    <xdr:row>75</xdr:row>
                    <xdr:rowOff>10886</xdr:rowOff>
                  </to>
                </anchor>
              </controlPr>
            </control>
          </mc:Choice>
        </mc:AlternateContent>
        <mc:AlternateContent xmlns:mc="http://schemas.openxmlformats.org/markup-compatibility/2006">
          <mc:Choice Requires="x14">
            <control shapeId="8541" r:id="rId156" name="Option Button 349">
              <controlPr defaultSize="0" autoFill="0" autoLine="0" autoPict="0">
                <anchor moveWithCells="1">
                  <from>
                    <xdr:col>5</xdr:col>
                    <xdr:colOff>201386</xdr:colOff>
                    <xdr:row>73</xdr:row>
                    <xdr:rowOff>48986</xdr:rowOff>
                  </from>
                  <to>
                    <xdr:col>7</xdr:col>
                    <xdr:colOff>179614</xdr:colOff>
                    <xdr:row>75</xdr:row>
                    <xdr:rowOff>10886</xdr:rowOff>
                  </to>
                </anchor>
              </controlPr>
            </control>
          </mc:Choice>
        </mc:AlternateContent>
        <mc:AlternateContent xmlns:mc="http://schemas.openxmlformats.org/markup-compatibility/2006">
          <mc:Choice Requires="x14">
            <control shapeId="8542" r:id="rId157" name="Group Box 350">
              <controlPr defaultSize="0" print="0" autoFill="0" autoPict="0">
                <anchor moveWithCells="1">
                  <from>
                    <xdr:col>2</xdr:col>
                    <xdr:colOff>141514</xdr:colOff>
                    <xdr:row>67</xdr:row>
                    <xdr:rowOff>10886</xdr:rowOff>
                  </from>
                  <to>
                    <xdr:col>7</xdr:col>
                    <xdr:colOff>190500</xdr:colOff>
                    <xdr:row>69</xdr:row>
                    <xdr:rowOff>10886</xdr:rowOff>
                  </to>
                </anchor>
              </controlPr>
            </control>
          </mc:Choice>
        </mc:AlternateContent>
        <mc:AlternateContent xmlns:mc="http://schemas.openxmlformats.org/markup-compatibility/2006">
          <mc:Choice Requires="x14">
            <control shapeId="8543" r:id="rId158" name="Option Button 351">
              <controlPr defaultSize="0" autoFill="0" autoLine="0" autoPict="0">
                <anchor moveWithCells="1">
                  <from>
                    <xdr:col>2</xdr:col>
                    <xdr:colOff>190500</xdr:colOff>
                    <xdr:row>67</xdr:row>
                    <xdr:rowOff>38100</xdr:rowOff>
                  </from>
                  <to>
                    <xdr:col>4</xdr:col>
                    <xdr:colOff>163286</xdr:colOff>
                    <xdr:row>69</xdr:row>
                    <xdr:rowOff>0</xdr:rowOff>
                  </to>
                </anchor>
              </controlPr>
            </control>
          </mc:Choice>
        </mc:AlternateContent>
        <mc:AlternateContent xmlns:mc="http://schemas.openxmlformats.org/markup-compatibility/2006">
          <mc:Choice Requires="x14">
            <control shapeId="8544" r:id="rId159" name="Option Button 352">
              <controlPr defaultSize="0" autoFill="0" autoLine="0" autoPict="0">
                <anchor moveWithCells="1">
                  <from>
                    <xdr:col>4</xdr:col>
                    <xdr:colOff>103414</xdr:colOff>
                    <xdr:row>67</xdr:row>
                    <xdr:rowOff>38100</xdr:rowOff>
                  </from>
                  <to>
                    <xdr:col>6</xdr:col>
                    <xdr:colOff>76200</xdr:colOff>
                    <xdr:row>69</xdr:row>
                    <xdr:rowOff>0</xdr:rowOff>
                  </to>
                </anchor>
              </controlPr>
            </control>
          </mc:Choice>
        </mc:AlternateContent>
        <mc:AlternateContent xmlns:mc="http://schemas.openxmlformats.org/markup-compatibility/2006">
          <mc:Choice Requires="x14">
            <control shapeId="8546" r:id="rId160" name="Group Box 354">
              <controlPr defaultSize="0" print="0" autoFill="0" autoPict="0">
                <anchor moveWithCells="1">
                  <from>
                    <xdr:col>2</xdr:col>
                    <xdr:colOff>141514</xdr:colOff>
                    <xdr:row>69</xdr:row>
                    <xdr:rowOff>10886</xdr:rowOff>
                  </from>
                  <to>
                    <xdr:col>7</xdr:col>
                    <xdr:colOff>190500</xdr:colOff>
                    <xdr:row>71</xdr:row>
                    <xdr:rowOff>10886</xdr:rowOff>
                  </to>
                </anchor>
              </controlPr>
            </control>
          </mc:Choice>
        </mc:AlternateContent>
        <mc:AlternateContent xmlns:mc="http://schemas.openxmlformats.org/markup-compatibility/2006">
          <mc:Choice Requires="x14">
            <control shapeId="8547" r:id="rId161" name="Option Button 355">
              <controlPr defaultSize="0" autoFill="0" autoLine="0" autoPict="0">
                <anchor moveWithCells="1">
                  <from>
                    <xdr:col>2</xdr:col>
                    <xdr:colOff>190500</xdr:colOff>
                    <xdr:row>69</xdr:row>
                    <xdr:rowOff>48986</xdr:rowOff>
                  </from>
                  <to>
                    <xdr:col>4</xdr:col>
                    <xdr:colOff>163286</xdr:colOff>
                    <xdr:row>71</xdr:row>
                    <xdr:rowOff>10886</xdr:rowOff>
                  </to>
                </anchor>
              </controlPr>
            </control>
          </mc:Choice>
        </mc:AlternateContent>
        <mc:AlternateContent xmlns:mc="http://schemas.openxmlformats.org/markup-compatibility/2006">
          <mc:Choice Requires="x14">
            <control shapeId="8548" r:id="rId162" name="Option Button 356">
              <controlPr defaultSize="0" autoFill="0" autoLine="0" autoPict="0">
                <anchor moveWithCells="1">
                  <from>
                    <xdr:col>4</xdr:col>
                    <xdr:colOff>103414</xdr:colOff>
                    <xdr:row>69</xdr:row>
                    <xdr:rowOff>48986</xdr:rowOff>
                  </from>
                  <to>
                    <xdr:col>6</xdr:col>
                    <xdr:colOff>76200</xdr:colOff>
                    <xdr:row>71</xdr:row>
                    <xdr:rowOff>10886</xdr:rowOff>
                  </to>
                </anchor>
              </controlPr>
            </control>
          </mc:Choice>
        </mc:AlternateContent>
        <mc:AlternateContent xmlns:mc="http://schemas.openxmlformats.org/markup-compatibility/2006">
          <mc:Choice Requires="x14">
            <control shapeId="8550" r:id="rId163" name="Group Box 358">
              <controlPr defaultSize="0" print="0" autoFill="0" autoPict="0">
                <anchor moveWithCells="1">
                  <from>
                    <xdr:col>2</xdr:col>
                    <xdr:colOff>141514</xdr:colOff>
                    <xdr:row>77</xdr:row>
                    <xdr:rowOff>10886</xdr:rowOff>
                  </from>
                  <to>
                    <xdr:col>7</xdr:col>
                    <xdr:colOff>190500</xdr:colOff>
                    <xdr:row>79</xdr:row>
                    <xdr:rowOff>10886</xdr:rowOff>
                  </to>
                </anchor>
              </controlPr>
            </control>
          </mc:Choice>
        </mc:AlternateContent>
        <mc:AlternateContent xmlns:mc="http://schemas.openxmlformats.org/markup-compatibility/2006">
          <mc:Choice Requires="x14">
            <control shapeId="8551" r:id="rId164" name="Option Button 359">
              <controlPr defaultSize="0" autoFill="0" autoLine="0" autoPict="0">
                <anchor moveWithCells="1">
                  <from>
                    <xdr:col>2</xdr:col>
                    <xdr:colOff>190500</xdr:colOff>
                    <xdr:row>77</xdr:row>
                    <xdr:rowOff>48986</xdr:rowOff>
                  </from>
                  <to>
                    <xdr:col>4</xdr:col>
                    <xdr:colOff>163286</xdr:colOff>
                    <xdr:row>79</xdr:row>
                    <xdr:rowOff>10886</xdr:rowOff>
                  </to>
                </anchor>
              </controlPr>
            </control>
          </mc:Choice>
        </mc:AlternateContent>
        <mc:AlternateContent xmlns:mc="http://schemas.openxmlformats.org/markup-compatibility/2006">
          <mc:Choice Requires="x14">
            <control shapeId="8552" r:id="rId165" name="Option Button 360">
              <controlPr defaultSize="0" autoFill="0" autoLine="0" autoPict="0">
                <anchor moveWithCells="1">
                  <from>
                    <xdr:col>4</xdr:col>
                    <xdr:colOff>103414</xdr:colOff>
                    <xdr:row>77</xdr:row>
                    <xdr:rowOff>38100</xdr:rowOff>
                  </from>
                  <to>
                    <xdr:col>6</xdr:col>
                    <xdr:colOff>76200</xdr:colOff>
                    <xdr:row>79</xdr:row>
                    <xdr:rowOff>0</xdr:rowOff>
                  </to>
                </anchor>
              </controlPr>
            </control>
          </mc:Choice>
        </mc:AlternateContent>
        <mc:AlternateContent xmlns:mc="http://schemas.openxmlformats.org/markup-compatibility/2006">
          <mc:Choice Requires="x14">
            <control shapeId="8553" r:id="rId166" name="Option Button 361">
              <controlPr defaultSize="0" autoFill="0" autoLine="0" autoPict="0">
                <anchor moveWithCells="1">
                  <from>
                    <xdr:col>5</xdr:col>
                    <xdr:colOff>201386</xdr:colOff>
                    <xdr:row>77</xdr:row>
                    <xdr:rowOff>38100</xdr:rowOff>
                  </from>
                  <to>
                    <xdr:col>7</xdr:col>
                    <xdr:colOff>179614</xdr:colOff>
                    <xdr:row>79</xdr:row>
                    <xdr:rowOff>0</xdr:rowOff>
                  </to>
                </anchor>
              </controlPr>
            </control>
          </mc:Choice>
        </mc:AlternateContent>
        <mc:AlternateContent xmlns:mc="http://schemas.openxmlformats.org/markup-compatibility/2006">
          <mc:Choice Requires="x14">
            <control shapeId="8554" r:id="rId167" name="Group Box 362">
              <controlPr defaultSize="0" print="0" autoFill="0" autoPict="0">
                <anchor moveWithCells="1">
                  <from>
                    <xdr:col>2</xdr:col>
                    <xdr:colOff>141514</xdr:colOff>
                    <xdr:row>75</xdr:row>
                    <xdr:rowOff>10886</xdr:rowOff>
                  </from>
                  <to>
                    <xdr:col>7</xdr:col>
                    <xdr:colOff>190500</xdr:colOff>
                    <xdr:row>77</xdr:row>
                    <xdr:rowOff>10886</xdr:rowOff>
                  </to>
                </anchor>
              </controlPr>
            </control>
          </mc:Choice>
        </mc:AlternateContent>
        <mc:AlternateContent xmlns:mc="http://schemas.openxmlformats.org/markup-compatibility/2006">
          <mc:Choice Requires="x14">
            <control shapeId="8555" r:id="rId168" name="Option Button 363">
              <controlPr defaultSize="0" autoFill="0" autoLine="0" autoPict="0">
                <anchor moveWithCells="1">
                  <from>
                    <xdr:col>2</xdr:col>
                    <xdr:colOff>190500</xdr:colOff>
                    <xdr:row>75</xdr:row>
                    <xdr:rowOff>38100</xdr:rowOff>
                  </from>
                  <to>
                    <xdr:col>4</xdr:col>
                    <xdr:colOff>163286</xdr:colOff>
                    <xdr:row>77</xdr:row>
                    <xdr:rowOff>0</xdr:rowOff>
                  </to>
                </anchor>
              </controlPr>
            </control>
          </mc:Choice>
        </mc:AlternateContent>
        <mc:AlternateContent xmlns:mc="http://schemas.openxmlformats.org/markup-compatibility/2006">
          <mc:Choice Requires="x14">
            <control shapeId="8556" r:id="rId169" name="Option Button 364">
              <controlPr defaultSize="0" autoFill="0" autoLine="0" autoPict="0">
                <anchor moveWithCells="1">
                  <from>
                    <xdr:col>4</xdr:col>
                    <xdr:colOff>103414</xdr:colOff>
                    <xdr:row>75</xdr:row>
                    <xdr:rowOff>38100</xdr:rowOff>
                  </from>
                  <to>
                    <xdr:col>6</xdr:col>
                    <xdr:colOff>76200</xdr:colOff>
                    <xdr:row>77</xdr:row>
                    <xdr:rowOff>0</xdr:rowOff>
                  </to>
                </anchor>
              </controlPr>
            </control>
          </mc:Choice>
        </mc:AlternateContent>
        <mc:AlternateContent xmlns:mc="http://schemas.openxmlformats.org/markup-compatibility/2006">
          <mc:Choice Requires="x14">
            <control shapeId="8557" r:id="rId170" name="Option Button 365">
              <controlPr defaultSize="0" autoFill="0" autoLine="0" autoPict="0">
                <anchor moveWithCells="1">
                  <from>
                    <xdr:col>5</xdr:col>
                    <xdr:colOff>201386</xdr:colOff>
                    <xdr:row>75</xdr:row>
                    <xdr:rowOff>38100</xdr:rowOff>
                  </from>
                  <to>
                    <xdr:col>7</xdr:col>
                    <xdr:colOff>179614</xdr:colOff>
                    <xdr:row>77</xdr:row>
                    <xdr:rowOff>0</xdr:rowOff>
                  </to>
                </anchor>
              </controlPr>
            </control>
          </mc:Choice>
        </mc:AlternateContent>
        <mc:AlternateContent xmlns:mc="http://schemas.openxmlformats.org/markup-compatibility/2006">
          <mc:Choice Requires="x14">
            <control shapeId="8558" r:id="rId171" name="Group Box 366">
              <controlPr defaultSize="0" print="0" autoFill="0" autoPict="0">
                <anchor moveWithCells="1">
                  <from>
                    <xdr:col>2</xdr:col>
                    <xdr:colOff>141514</xdr:colOff>
                    <xdr:row>144</xdr:row>
                    <xdr:rowOff>10886</xdr:rowOff>
                  </from>
                  <to>
                    <xdr:col>7</xdr:col>
                    <xdr:colOff>190500</xdr:colOff>
                    <xdr:row>145</xdr:row>
                    <xdr:rowOff>228600</xdr:rowOff>
                  </to>
                </anchor>
              </controlPr>
            </control>
          </mc:Choice>
        </mc:AlternateContent>
        <mc:AlternateContent xmlns:mc="http://schemas.openxmlformats.org/markup-compatibility/2006">
          <mc:Choice Requires="x14">
            <control shapeId="8559" r:id="rId172" name="Option Button 367">
              <controlPr defaultSize="0" autoFill="0" autoLine="0" autoPict="0">
                <anchor moveWithCells="1">
                  <from>
                    <xdr:col>2</xdr:col>
                    <xdr:colOff>190500</xdr:colOff>
                    <xdr:row>144</xdr:row>
                    <xdr:rowOff>27214</xdr:rowOff>
                  </from>
                  <to>
                    <xdr:col>4</xdr:col>
                    <xdr:colOff>163286</xdr:colOff>
                    <xdr:row>145</xdr:row>
                    <xdr:rowOff>201386</xdr:rowOff>
                  </to>
                </anchor>
              </controlPr>
            </control>
          </mc:Choice>
        </mc:AlternateContent>
        <mc:AlternateContent xmlns:mc="http://schemas.openxmlformats.org/markup-compatibility/2006">
          <mc:Choice Requires="x14">
            <control shapeId="8560" r:id="rId173" name="Option Button 368">
              <controlPr defaultSize="0" autoFill="0" autoLine="0" autoPict="0">
                <anchor moveWithCells="1">
                  <from>
                    <xdr:col>4</xdr:col>
                    <xdr:colOff>103414</xdr:colOff>
                    <xdr:row>144</xdr:row>
                    <xdr:rowOff>27214</xdr:rowOff>
                  </from>
                  <to>
                    <xdr:col>6</xdr:col>
                    <xdr:colOff>76200</xdr:colOff>
                    <xdr:row>145</xdr:row>
                    <xdr:rowOff>201386</xdr:rowOff>
                  </to>
                </anchor>
              </controlPr>
            </control>
          </mc:Choice>
        </mc:AlternateContent>
        <mc:AlternateContent xmlns:mc="http://schemas.openxmlformats.org/markup-compatibility/2006">
          <mc:Choice Requires="x14">
            <control shapeId="8561" r:id="rId174" name="Option Button 369">
              <controlPr defaultSize="0" autoFill="0" autoLine="0" autoPict="0">
                <anchor moveWithCells="1">
                  <from>
                    <xdr:col>5</xdr:col>
                    <xdr:colOff>201386</xdr:colOff>
                    <xdr:row>144</xdr:row>
                    <xdr:rowOff>27214</xdr:rowOff>
                  </from>
                  <to>
                    <xdr:col>7</xdr:col>
                    <xdr:colOff>179614</xdr:colOff>
                    <xdr:row>145</xdr:row>
                    <xdr:rowOff>201386</xdr:rowOff>
                  </to>
                </anchor>
              </controlPr>
            </control>
          </mc:Choice>
        </mc:AlternateContent>
        <mc:AlternateContent xmlns:mc="http://schemas.openxmlformats.org/markup-compatibility/2006">
          <mc:Choice Requires="x14">
            <control shapeId="8562" r:id="rId175" name="Group Box 370">
              <controlPr defaultSize="0" print="0" autoFill="0" autoPict="0">
                <anchor moveWithCells="1">
                  <from>
                    <xdr:col>2</xdr:col>
                    <xdr:colOff>141514</xdr:colOff>
                    <xdr:row>140</xdr:row>
                    <xdr:rowOff>10886</xdr:rowOff>
                  </from>
                  <to>
                    <xdr:col>7</xdr:col>
                    <xdr:colOff>190500</xdr:colOff>
                    <xdr:row>142</xdr:row>
                    <xdr:rowOff>10886</xdr:rowOff>
                  </to>
                </anchor>
              </controlPr>
            </control>
          </mc:Choice>
        </mc:AlternateContent>
        <mc:AlternateContent xmlns:mc="http://schemas.openxmlformats.org/markup-compatibility/2006">
          <mc:Choice Requires="x14">
            <control shapeId="8563" r:id="rId176" name="Option Button 371">
              <controlPr defaultSize="0" autoFill="0" autoLine="0" autoPict="0">
                <anchor moveWithCells="1">
                  <from>
                    <xdr:col>2</xdr:col>
                    <xdr:colOff>190500</xdr:colOff>
                    <xdr:row>140</xdr:row>
                    <xdr:rowOff>38100</xdr:rowOff>
                  </from>
                  <to>
                    <xdr:col>4</xdr:col>
                    <xdr:colOff>163286</xdr:colOff>
                    <xdr:row>142</xdr:row>
                    <xdr:rowOff>0</xdr:rowOff>
                  </to>
                </anchor>
              </controlPr>
            </control>
          </mc:Choice>
        </mc:AlternateContent>
        <mc:AlternateContent xmlns:mc="http://schemas.openxmlformats.org/markup-compatibility/2006">
          <mc:Choice Requires="x14">
            <control shapeId="8564" r:id="rId177" name="Option Button 372">
              <controlPr defaultSize="0" autoFill="0" autoLine="0" autoPict="0">
                <anchor moveWithCells="1">
                  <from>
                    <xdr:col>4</xdr:col>
                    <xdr:colOff>103414</xdr:colOff>
                    <xdr:row>140</xdr:row>
                    <xdr:rowOff>38100</xdr:rowOff>
                  </from>
                  <to>
                    <xdr:col>6</xdr:col>
                    <xdr:colOff>76200</xdr:colOff>
                    <xdr:row>142</xdr:row>
                    <xdr:rowOff>0</xdr:rowOff>
                  </to>
                </anchor>
              </controlPr>
            </control>
          </mc:Choice>
        </mc:AlternateContent>
        <mc:AlternateContent xmlns:mc="http://schemas.openxmlformats.org/markup-compatibility/2006">
          <mc:Choice Requires="x14">
            <control shapeId="8565" r:id="rId178" name="Option Button 373">
              <controlPr defaultSize="0" autoFill="0" autoLine="0" autoPict="0">
                <anchor moveWithCells="1">
                  <from>
                    <xdr:col>5</xdr:col>
                    <xdr:colOff>201386</xdr:colOff>
                    <xdr:row>140</xdr:row>
                    <xdr:rowOff>38100</xdr:rowOff>
                  </from>
                  <to>
                    <xdr:col>7</xdr:col>
                    <xdr:colOff>179614</xdr:colOff>
                    <xdr:row>142</xdr:row>
                    <xdr:rowOff>0</xdr:rowOff>
                  </to>
                </anchor>
              </controlPr>
            </control>
          </mc:Choice>
        </mc:AlternateContent>
        <mc:AlternateContent xmlns:mc="http://schemas.openxmlformats.org/markup-compatibility/2006">
          <mc:Choice Requires="x14">
            <control shapeId="8566" r:id="rId179" name="Group Box 374">
              <controlPr defaultSize="0" print="0" autoFill="0" autoPict="0">
                <anchor moveWithCells="1">
                  <from>
                    <xdr:col>2</xdr:col>
                    <xdr:colOff>141514</xdr:colOff>
                    <xdr:row>142</xdr:row>
                    <xdr:rowOff>10886</xdr:rowOff>
                  </from>
                  <to>
                    <xdr:col>7</xdr:col>
                    <xdr:colOff>190500</xdr:colOff>
                    <xdr:row>144</xdr:row>
                    <xdr:rowOff>10886</xdr:rowOff>
                  </to>
                </anchor>
              </controlPr>
            </control>
          </mc:Choice>
        </mc:AlternateContent>
        <mc:AlternateContent xmlns:mc="http://schemas.openxmlformats.org/markup-compatibility/2006">
          <mc:Choice Requires="x14">
            <control shapeId="8567" r:id="rId180" name="Option Button 375">
              <controlPr defaultSize="0" autoFill="0" autoLine="0" autoPict="0">
                <anchor moveWithCells="1">
                  <from>
                    <xdr:col>2</xdr:col>
                    <xdr:colOff>190500</xdr:colOff>
                    <xdr:row>142</xdr:row>
                    <xdr:rowOff>48986</xdr:rowOff>
                  </from>
                  <to>
                    <xdr:col>4</xdr:col>
                    <xdr:colOff>163286</xdr:colOff>
                    <xdr:row>144</xdr:row>
                    <xdr:rowOff>10886</xdr:rowOff>
                  </to>
                </anchor>
              </controlPr>
            </control>
          </mc:Choice>
        </mc:AlternateContent>
        <mc:AlternateContent xmlns:mc="http://schemas.openxmlformats.org/markup-compatibility/2006">
          <mc:Choice Requires="x14">
            <control shapeId="8568" r:id="rId181" name="Option Button 376">
              <controlPr defaultSize="0" autoFill="0" autoLine="0" autoPict="0">
                <anchor moveWithCells="1">
                  <from>
                    <xdr:col>4</xdr:col>
                    <xdr:colOff>103414</xdr:colOff>
                    <xdr:row>142</xdr:row>
                    <xdr:rowOff>48986</xdr:rowOff>
                  </from>
                  <to>
                    <xdr:col>6</xdr:col>
                    <xdr:colOff>76200</xdr:colOff>
                    <xdr:row>144</xdr:row>
                    <xdr:rowOff>10886</xdr:rowOff>
                  </to>
                </anchor>
              </controlPr>
            </control>
          </mc:Choice>
        </mc:AlternateContent>
        <mc:AlternateContent xmlns:mc="http://schemas.openxmlformats.org/markup-compatibility/2006">
          <mc:Choice Requires="x14">
            <control shapeId="8569" r:id="rId182" name="Option Button 377">
              <controlPr defaultSize="0" autoFill="0" autoLine="0" autoPict="0">
                <anchor moveWithCells="1">
                  <from>
                    <xdr:col>5</xdr:col>
                    <xdr:colOff>201386</xdr:colOff>
                    <xdr:row>142</xdr:row>
                    <xdr:rowOff>48986</xdr:rowOff>
                  </from>
                  <to>
                    <xdr:col>7</xdr:col>
                    <xdr:colOff>179614</xdr:colOff>
                    <xdr:row>144</xdr:row>
                    <xdr:rowOff>10886</xdr:rowOff>
                  </to>
                </anchor>
              </controlPr>
            </control>
          </mc:Choice>
        </mc:AlternateContent>
        <mc:AlternateContent xmlns:mc="http://schemas.openxmlformats.org/markup-compatibility/2006">
          <mc:Choice Requires="x14">
            <control shapeId="8570" r:id="rId183" name="Group Box 378">
              <controlPr defaultSize="0" print="0" autoFill="0" autoPict="0">
                <anchor moveWithCells="1">
                  <from>
                    <xdr:col>2</xdr:col>
                    <xdr:colOff>141514</xdr:colOff>
                    <xdr:row>153</xdr:row>
                    <xdr:rowOff>10886</xdr:rowOff>
                  </from>
                  <to>
                    <xdr:col>7</xdr:col>
                    <xdr:colOff>190500</xdr:colOff>
                    <xdr:row>154</xdr:row>
                    <xdr:rowOff>228600</xdr:rowOff>
                  </to>
                </anchor>
              </controlPr>
            </control>
          </mc:Choice>
        </mc:AlternateContent>
        <mc:AlternateContent xmlns:mc="http://schemas.openxmlformats.org/markup-compatibility/2006">
          <mc:Choice Requires="x14">
            <control shapeId="8571" r:id="rId184" name="Option Button 379">
              <controlPr defaultSize="0" autoFill="0" autoLine="0" autoPict="0">
                <anchor moveWithCells="1">
                  <from>
                    <xdr:col>2</xdr:col>
                    <xdr:colOff>190500</xdr:colOff>
                    <xdr:row>153</xdr:row>
                    <xdr:rowOff>38100</xdr:rowOff>
                  </from>
                  <to>
                    <xdr:col>4</xdr:col>
                    <xdr:colOff>163286</xdr:colOff>
                    <xdr:row>154</xdr:row>
                    <xdr:rowOff>217714</xdr:rowOff>
                  </to>
                </anchor>
              </controlPr>
            </control>
          </mc:Choice>
        </mc:AlternateContent>
        <mc:AlternateContent xmlns:mc="http://schemas.openxmlformats.org/markup-compatibility/2006">
          <mc:Choice Requires="x14">
            <control shapeId="8572" r:id="rId185" name="Option Button 380">
              <controlPr defaultSize="0" autoFill="0" autoLine="0" autoPict="0">
                <anchor moveWithCells="1">
                  <from>
                    <xdr:col>4</xdr:col>
                    <xdr:colOff>103414</xdr:colOff>
                    <xdr:row>153</xdr:row>
                    <xdr:rowOff>38100</xdr:rowOff>
                  </from>
                  <to>
                    <xdr:col>6</xdr:col>
                    <xdr:colOff>76200</xdr:colOff>
                    <xdr:row>154</xdr:row>
                    <xdr:rowOff>217714</xdr:rowOff>
                  </to>
                </anchor>
              </controlPr>
            </control>
          </mc:Choice>
        </mc:AlternateContent>
        <mc:AlternateContent xmlns:mc="http://schemas.openxmlformats.org/markup-compatibility/2006">
          <mc:Choice Requires="x14">
            <control shapeId="8573" r:id="rId186" name="Option Button 381">
              <controlPr defaultSize="0" autoFill="0" autoLine="0" autoPict="0">
                <anchor moveWithCells="1">
                  <from>
                    <xdr:col>5</xdr:col>
                    <xdr:colOff>201386</xdr:colOff>
                    <xdr:row>153</xdr:row>
                    <xdr:rowOff>38100</xdr:rowOff>
                  </from>
                  <to>
                    <xdr:col>7</xdr:col>
                    <xdr:colOff>179614</xdr:colOff>
                    <xdr:row>154</xdr:row>
                    <xdr:rowOff>217714</xdr:rowOff>
                  </to>
                </anchor>
              </controlPr>
            </control>
          </mc:Choice>
        </mc:AlternateContent>
        <mc:AlternateContent xmlns:mc="http://schemas.openxmlformats.org/markup-compatibility/2006">
          <mc:Choice Requires="x14">
            <control shapeId="8574" r:id="rId187" name="Group Box 382">
              <controlPr defaultSize="0" print="0" autoFill="0" autoPict="0">
                <anchor moveWithCells="1">
                  <from>
                    <xdr:col>2</xdr:col>
                    <xdr:colOff>141514</xdr:colOff>
                    <xdr:row>157</xdr:row>
                    <xdr:rowOff>10886</xdr:rowOff>
                  </from>
                  <to>
                    <xdr:col>7</xdr:col>
                    <xdr:colOff>190500</xdr:colOff>
                    <xdr:row>158</xdr:row>
                    <xdr:rowOff>266700</xdr:rowOff>
                  </to>
                </anchor>
              </controlPr>
            </control>
          </mc:Choice>
        </mc:AlternateContent>
        <mc:AlternateContent xmlns:mc="http://schemas.openxmlformats.org/markup-compatibility/2006">
          <mc:Choice Requires="x14">
            <control shapeId="8575" r:id="rId188" name="Option Button 383">
              <controlPr defaultSize="0" autoFill="0" autoLine="0" autoPict="0">
                <anchor moveWithCells="1">
                  <from>
                    <xdr:col>2</xdr:col>
                    <xdr:colOff>190500</xdr:colOff>
                    <xdr:row>157</xdr:row>
                    <xdr:rowOff>38100</xdr:rowOff>
                  </from>
                  <to>
                    <xdr:col>4</xdr:col>
                    <xdr:colOff>163286</xdr:colOff>
                    <xdr:row>158</xdr:row>
                    <xdr:rowOff>255814</xdr:rowOff>
                  </to>
                </anchor>
              </controlPr>
            </control>
          </mc:Choice>
        </mc:AlternateContent>
        <mc:AlternateContent xmlns:mc="http://schemas.openxmlformats.org/markup-compatibility/2006">
          <mc:Choice Requires="x14">
            <control shapeId="8576" r:id="rId189" name="Option Button 384">
              <controlPr defaultSize="0" autoFill="0" autoLine="0" autoPict="0">
                <anchor moveWithCells="1">
                  <from>
                    <xdr:col>4</xdr:col>
                    <xdr:colOff>103414</xdr:colOff>
                    <xdr:row>157</xdr:row>
                    <xdr:rowOff>38100</xdr:rowOff>
                  </from>
                  <to>
                    <xdr:col>6</xdr:col>
                    <xdr:colOff>76200</xdr:colOff>
                    <xdr:row>158</xdr:row>
                    <xdr:rowOff>255814</xdr:rowOff>
                  </to>
                </anchor>
              </controlPr>
            </control>
          </mc:Choice>
        </mc:AlternateContent>
        <mc:AlternateContent xmlns:mc="http://schemas.openxmlformats.org/markup-compatibility/2006">
          <mc:Choice Requires="x14">
            <control shapeId="8577" r:id="rId190" name="Option Button 385">
              <controlPr defaultSize="0" autoFill="0" autoLine="0" autoPict="0">
                <anchor moveWithCells="1">
                  <from>
                    <xdr:col>5</xdr:col>
                    <xdr:colOff>201386</xdr:colOff>
                    <xdr:row>157</xdr:row>
                    <xdr:rowOff>38100</xdr:rowOff>
                  </from>
                  <to>
                    <xdr:col>7</xdr:col>
                    <xdr:colOff>179614</xdr:colOff>
                    <xdr:row>158</xdr:row>
                    <xdr:rowOff>255814</xdr:rowOff>
                  </to>
                </anchor>
              </controlPr>
            </control>
          </mc:Choice>
        </mc:AlternateContent>
        <mc:AlternateContent xmlns:mc="http://schemas.openxmlformats.org/markup-compatibility/2006">
          <mc:Choice Requires="x14">
            <control shapeId="8578" r:id="rId191" name="Group Box 386">
              <controlPr defaultSize="0" print="0" autoFill="0" autoPict="0">
                <anchor moveWithCells="1">
                  <from>
                    <xdr:col>2</xdr:col>
                    <xdr:colOff>141514</xdr:colOff>
                    <xdr:row>161</xdr:row>
                    <xdr:rowOff>10886</xdr:rowOff>
                  </from>
                  <to>
                    <xdr:col>7</xdr:col>
                    <xdr:colOff>190500</xdr:colOff>
                    <xdr:row>162</xdr:row>
                    <xdr:rowOff>266700</xdr:rowOff>
                  </to>
                </anchor>
              </controlPr>
            </control>
          </mc:Choice>
        </mc:AlternateContent>
        <mc:AlternateContent xmlns:mc="http://schemas.openxmlformats.org/markup-compatibility/2006">
          <mc:Choice Requires="x14">
            <control shapeId="8579" r:id="rId192" name="Option Button 387">
              <controlPr defaultSize="0" autoFill="0" autoLine="0" autoPict="0">
                <anchor moveWithCells="1">
                  <from>
                    <xdr:col>2</xdr:col>
                    <xdr:colOff>190500</xdr:colOff>
                    <xdr:row>161</xdr:row>
                    <xdr:rowOff>38100</xdr:rowOff>
                  </from>
                  <to>
                    <xdr:col>4</xdr:col>
                    <xdr:colOff>163286</xdr:colOff>
                    <xdr:row>162</xdr:row>
                    <xdr:rowOff>255814</xdr:rowOff>
                  </to>
                </anchor>
              </controlPr>
            </control>
          </mc:Choice>
        </mc:AlternateContent>
        <mc:AlternateContent xmlns:mc="http://schemas.openxmlformats.org/markup-compatibility/2006">
          <mc:Choice Requires="x14">
            <control shapeId="8580" r:id="rId193" name="Option Button 388">
              <controlPr defaultSize="0" autoFill="0" autoLine="0" autoPict="0">
                <anchor moveWithCells="1">
                  <from>
                    <xdr:col>4</xdr:col>
                    <xdr:colOff>103414</xdr:colOff>
                    <xdr:row>161</xdr:row>
                    <xdr:rowOff>38100</xdr:rowOff>
                  </from>
                  <to>
                    <xdr:col>6</xdr:col>
                    <xdr:colOff>76200</xdr:colOff>
                    <xdr:row>162</xdr:row>
                    <xdr:rowOff>255814</xdr:rowOff>
                  </to>
                </anchor>
              </controlPr>
            </control>
          </mc:Choice>
        </mc:AlternateContent>
        <mc:AlternateContent xmlns:mc="http://schemas.openxmlformats.org/markup-compatibility/2006">
          <mc:Choice Requires="x14">
            <control shapeId="8581" r:id="rId194" name="Option Button 389">
              <controlPr defaultSize="0" autoFill="0" autoLine="0" autoPict="0">
                <anchor moveWithCells="1">
                  <from>
                    <xdr:col>5</xdr:col>
                    <xdr:colOff>201386</xdr:colOff>
                    <xdr:row>161</xdr:row>
                    <xdr:rowOff>38100</xdr:rowOff>
                  </from>
                  <to>
                    <xdr:col>7</xdr:col>
                    <xdr:colOff>179614</xdr:colOff>
                    <xdr:row>162</xdr:row>
                    <xdr:rowOff>255814</xdr:rowOff>
                  </to>
                </anchor>
              </controlPr>
            </control>
          </mc:Choice>
        </mc:AlternateContent>
        <mc:AlternateContent xmlns:mc="http://schemas.openxmlformats.org/markup-compatibility/2006">
          <mc:Choice Requires="x14">
            <control shapeId="8582" r:id="rId195" name="Group Box 390">
              <controlPr defaultSize="0" print="0" autoFill="0" autoPict="0">
                <anchor moveWithCells="1">
                  <from>
                    <xdr:col>2</xdr:col>
                    <xdr:colOff>141514</xdr:colOff>
                    <xdr:row>165</xdr:row>
                    <xdr:rowOff>10886</xdr:rowOff>
                  </from>
                  <to>
                    <xdr:col>7</xdr:col>
                    <xdr:colOff>190500</xdr:colOff>
                    <xdr:row>167</xdr:row>
                    <xdr:rowOff>0</xdr:rowOff>
                  </to>
                </anchor>
              </controlPr>
            </control>
          </mc:Choice>
        </mc:AlternateContent>
        <mc:AlternateContent xmlns:mc="http://schemas.openxmlformats.org/markup-compatibility/2006">
          <mc:Choice Requires="x14">
            <control shapeId="8583" r:id="rId196" name="Option Button 391">
              <controlPr defaultSize="0" autoFill="0" autoLine="0" autoPict="0">
                <anchor moveWithCells="1">
                  <from>
                    <xdr:col>2</xdr:col>
                    <xdr:colOff>190500</xdr:colOff>
                    <xdr:row>165</xdr:row>
                    <xdr:rowOff>38100</xdr:rowOff>
                  </from>
                  <to>
                    <xdr:col>4</xdr:col>
                    <xdr:colOff>163286</xdr:colOff>
                    <xdr:row>166</xdr:row>
                    <xdr:rowOff>255814</xdr:rowOff>
                  </to>
                </anchor>
              </controlPr>
            </control>
          </mc:Choice>
        </mc:AlternateContent>
        <mc:AlternateContent xmlns:mc="http://schemas.openxmlformats.org/markup-compatibility/2006">
          <mc:Choice Requires="x14">
            <control shapeId="8584" r:id="rId197" name="Option Button 392">
              <controlPr defaultSize="0" autoFill="0" autoLine="0" autoPict="0">
                <anchor moveWithCells="1">
                  <from>
                    <xdr:col>4</xdr:col>
                    <xdr:colOff>103414</xdr:colOff>
                    <xdr:row>165</xdr:row>
                    <xdr:rowOff>38100</xdr:rowOff>
                  </from>
                  <to>
                    <xdr:col>6</xdr:col>
                    <xdr:colOff>76200</xdr:colOff>
                    <xdr:row>166</xdr:row>
                    <xdr:rowOff>255814</xdr:rowOff>
                  </to>
                </anchor>
              </controlPr>
            </control>
          </mc:Choice>
        </mc:AlternateContent>
        <mc:AlternateContent xmlns:mc="http://schemas.openxmlformats.org/markup-compatibility/2006">
          <mc:Choice Requires="x14">
            <control shapeId="8585" r:id="rId198" name="Option Button 393">
              <controlPr defaultSize="0" autoFill="0" autoLine="0" autoPict="0">
                <anchor moveWithCells="1">
                  <from>
                    <xdr:col>5</xdr:col>
                    <xdr:colOff>201386</xdr:colOff>
                    <xdr:row>165</xdr:row>
                    <xdr:rowOff>38100</xdr:rowOff>
                  </from>
                  <to>
                    <xdr:col>7</xdr:col>
                    <xdr:colOff>179614</xdr:colOff>
                    <xdr:row>166</xdr:row>
                    <xdr:rowOff>255814</xdr:rowOff>
                  </to>
                </anchor>
              </controlPr>
            </control>
          </mc:Choice>
        </mc:AlternateContent>
        <mc:AlternateContent xmlns:mc="http://schemas.openxmlformats.org/markup-compatibility/2006">
          <mc:Choice Requires="x14">
            <control shapeId="8586" r:id="rId199" name="Group Box 394">
              <controlPr defaultSize="0" print="0" autoFill="0" autoPict="0">
                <anchor moveWithCells="1">
                  <from>
                    <xdr:col>2</xdr:col>
                    <xdr:colOff>141514</xdr:colOff>
                    <xdr:row>190</xdr:row>
                    <xdr:rowOff>10886</xdr:rowOff>
                  </from>
                  <to>
                    <xdr:col>7</xdr:col>
                    <xdr:colOff>190500</xdr:colOff>
                    <xdr:row>191</xdr:row>
                    <xdr:rowOff>228600</xdr:rowOff>
                  </to>
                </anchor>
              </controlPr>
            </control>
          </mc:Choice>
        </mc:AlternateContent>
        <mc:AlternateContent xmlns:mc="http://schemas.openxmlformats.org/markup-compatibility/2006">
          <mc:Choice Requires="x14">
            <control shapeId="8587" r:id="rId200" name="Option Button 395">
              <controlPr defaultSize="0" autoFill="0" autoLine="0" autoPict="0">
                <anchor moveWithCells="1">
                  <from>
                    <xdr:col>2</xdr:col>
                    <xdr:colOff>190500</xdr:colOff>
                    <xdr:row>190</xdr:row>
                    <xdr:rowOff>38100</xdr:rowOff>
                  </from>
                  <to>
                    <xdr:col>4</xdr:col>
                    <xdr:colOff>163286</xdr:colOff>
                    <xdr:row>191</xdr:row>
                    <xdr:rowOff>217714</xdr:rowOff>
                  </to>
                </anchor>
              </controlPr>
            </control>
          </mc:Choice>
        </mc:AlternateContent>
        <mc:AlternateContent xmlns:mc="http://schemas.openxmlformats.org/markup-compatibility/2006">
          <mc:Choice Requires="x14">
            <control shapeId="8588" r:id="rId201" name="Option Button 396">
              <controlPr defaultSize="0" autoFill="0" autoLine="0" autoPict="0">
                <anchor moveWithCells="1">
                  <from>
                    <xdr:col>4</xdr:col>
                    <xdr:colOff>103414</xdr:colOff>
                    <xdr:row>190</xdr:row>
                    <xdr:rowOff>38100</xdr:rowOff>
                  </from>
                  <to>
                    <xdr:col>6</xdr:col>
                    <xdr:colOff>76200</xdr:colOff>
                    <xdr:row>191</xdr:row>
                    <xdr:rowOff>217714</xdr:rowOff>
                  </to>
                </anchor>
              </controlPr>
            </control>
          </mc:Choice>
        </mc:AlternateContent>
        <mc:AlternateContent xmlns:mc="http://schemas.openxmlformats.org/markup-compatibility/2006">
          <mc:Choice Requires="x14">
            <control shapeId="8589" r:id="rId202" name="Option Button 397">
              <controlPr defaultSize="0" autoFill="0" autoLine="0" autoPict="0">
                <anchor moveWithCells="1">
                  <from>
                    <xdr:col>5</xdr:col>
                    <xdr:colOff>201386</xdr:colOff>
                    <xdr:row>190</xdr:row>
                    <xdr:rowOff>38100</xdr:rowOff>
                  </from>
                  <to>
                    <xdr:col>7</xdr:col>
                    <xdr:colOff>179614</xdr:colOff>
                    <xdr:row>191</xdr:row>
                    <xdr:rowOff>217714</xdr:rowOff>
                  </to>
                </anchor>
              </controlPr>
            </control>
          </mc:Choice>
        </mc:AlternateContent>
        <mc:AlternateContent xmlns:mc="http://schemas.openxmlformats.org/markup-compatibility/2006">
          <mc:Choice Requires="x14">
            <control shapeId="8590" r:id="rId203" name="Group Box 398">
              <controlPr defaultSize="0" print="0" autoFill="0" autoPict="0">
                <anchor moveWithCells="1">
                  <from>
                    <xdr:col>2</xdr:col>
                    <xdr:colOff>141514</xdr:colOff>
                    <xdr:row>192</xdr:row>
                    <xdr:rowOff>10886</xdr:rowOff>
                  </from>
                  <to>
                    <xdr:col>7</xdr:col>
                    <xdr:colOff>190500</xdr:colOff>
                    <xdr:row>193</xdr:row>
                    <xdr:rowOff>228600</xdr:rowOff>
                  </to>
                </anchor>
              </controlPr>
            </control>
          </mc:Choice>
        </mc:AlternateContent>
        <mc:AlternateContent xmlns:mc="http://schemas.openxmlformats.org/markup-compatibility/2006">
          <mc:Choice Requires="x14">
            <control shapeId="8591" r:id="rId204" name="Option Button 399">
              <controlPr defaultSize="0" autoFill="0" autoLine="0" autoPict="0">
                <anchor moveWithCells="1">
                  <from>
                    <xdr:col>2</xdr:col>
                    <xdr:colOff>190500</xdr:colOff>
                    <xdr:row>192</xdr:row>
                    <xdr:rowOff>48986</xdr:rowOff>
                  </from>
                  <to>
                    <xdr:col>4</xdr:col>
                    <xdr:colOff>163286</xdr:colOff>
                    <xdr:row>193</xdr:row>
                    <xdr:rowOff>228600</xdr:rowOff>
                  </to>
                </anchor>
              </controlPr>
            </control>
          </mc:Choice>
        </mc:AlternateContent>
        <mc:AlternateContent xmlns:mc="http://schemas.openxmlformats.org/markup-compatibility/2006">
          <mc:Choice Requires="x14">
            <control shapeId="8592" r:id="rId205" name="Option Button 400">
              <controlPr defaultSize="0" autoFill="0" autoLine="0" autoPict="0">
                <anchor moveWithCells="1">
                  <from>
                    <xdr:col>4</xdr:col>
                    <xdr:colOff>103414</xdr:colOff>
                    <xdr:row>192</xdr:row>
                    <xdr:rowOff>48986</xdr:rowOff>
                  </from>
                  <to>
                    <xdr:col>6</xdr:col>
                    <xdr:colOff>76200</xdr:colOff>
                    <xdr:row>193</xdr:row>
                    <xdr:rowOff>228600</xdr:rowOff>
                  </to>
                </anchor>
              </controlPr>
            </control>
          </mc:Choice>
        </mc:AlternateContent>
        <mc:AlternateContent xmlns:mc="http://schemas.openxmlformats.org/markup-compatibility/2006">
          <mc:Choice Requires="x14">
            <control shapeId="8593" r:id="rId206" name="Option Button 401">
              <controlPr defaultSize="0" autoFill="0" autoLine="0" autoPict="0">
                <anchor moveWithCells="1">
                  <from>
                    <xdr:col>5</xdr:col>
                    <xdr:colOff>201386</xdr:colOff>
                    <xdr:row>192</xdr:row>
                    <xdr:rowOff>48986</xdr:rowOff>
                  </from>
                  <to>
                    <xdr:col>7</xdr:col>
                    <xdr:colOff>179614</xdr:colOff>
                    <xdr:row>193</xdr:row>
                    <xdr:rowOff>228600</xdr:rowOff>
                  </to>
                </anchor>
              </controlPr>
            </control>
          </mc:Choice>
        </mc:AlternateContent>
        <mc:AlternateContent xmlns:mc="http://schemas.openxmlformats.org/markup-compatibility/2006">
          <mc:Choice Requires="x14">
            <control shapeId="8594" r:id="rId207" name="Group Box 402">
              <controlPr defaultSize="0" print="0" autoFill="0" autoPict="0">
                <anchor moveWithCells="1">
                  <from>
                    <xdr:col>2</xdr:col>
                    <xdr:colOff>141514</xdr:colOff>
                    <xdr:row>199</xdr:row>
                    <xdr:rowOff>0</xdr:rowOff>
                  </from>
                  <to>
                    <xdr:col>7</xdr:col>
                    <xdr:colOff>190500</xdr:colOff>
                    <xdr:row>199</xdr:row>
                    <xdr:rowOff>332014</xdr:rowOff>
                  </to>
                </anchor>
              </controlPr>
            </control>
          </mc:Choice>
        </mc:AlternateContent>
        <mc:AlternateContent xmlns:mc="http://schemas.openxmlformats.org/markup-compatibility/2006">
          <mc:Choice Requires="x14">
            <control shapeId="8595" r:id="rId208" name="Option Button 403">
              <controlPr defaultSize="0" autoFill="0" autoLine="0" autoPict="0">
                <anchor moveWithCells="1">
                  <from>
                    <xdr:col>2</xdr:col>
                    <xdr:colOff>190500</xdr:colOff>
                    <xdr:row>198</xdr:row>
                    <xdr:rowOff>103414</xdr:rowOff>
                  </from>
                  <to>
                    <xdr:col>4</xdr:col>
                    <xdr:colOff>163286</xdr:colOff>
                    <xdr:row>199</xdr:row>
                    <xdr:rowOff>277586</xdr:rowOff>
                  </to>
                </anchor>
              </controlPr>
            </control>
          </mc:Choice>
        </mc:AlternateContent>
        <mc:AlternateContent xmlns:mc="http://schemas.openxmlformats.org/markup-compatibility/2006">
          <mc:Choice Requires="x14">
            <control shapeId="8596" r:id="rId209" name="Option Button 404">
              <controlPr defaultSize="0" autoFill="0" autoLine="0" autoPict="0">
                <anchor moveWithCells="1">
                  <from>
                    <xdr:col>4</xdr:col>
                    <xdr:colOff>103414</xdr:colOff>
                    <xdr:row>198</xdr:row>
                    <xdr:rowOff>103414</xdr:rowOff>
                  </from>
                  <to>
                    <xdr:col>6</xdr:col>
                    <xdr:colOff>76200</xdr:colOff>
                    <xdr:row>199</xdr:row>
                    <xdr:rowOff>277586</xdr:rowOff>
                  </to>
                </anchor>
              </controlPr>
            </control>
          </mc:Choice>
        </mc:AlternateContent>
        <mc:AlternateContent xmlns:mc="http://schemas.openxmlformats.org/markup-compatibility/2006">
          <mc:Choice Requires="x14">
            <control shapeId="8597" r:id="rId210" name="Option Button 405">
              <controlPr defaultSize="0" autoFill="0" autoLine="0" autoPict="0">
                <anchor moveWithCells="1">
                  <from>
                    <xdr:col>5</xdr:col>
                    <xdr:colOff>201386</xdr:colOff>
                    <xdr:row>198</xdr:row>
                    <xdr:rowOff>103414</xdr:rowOff>
                  </from>
                  <to>
                    <xdr:col>7</xdr:col>
                    <xdr:colOff>179614</xdr:colOff>
                    <xdr:row>199</xdr:row>
                    <xdr:rowOff>277586</xdr:rowOff>
                  </to>
                </anchor>
              </controlPr>
            </control>
          </mc:Choice>
        </mc:AlternateContent>
        <mc:AlternateContent xmlns:mc="http://schemas.openxmlformats.org/markup-compatibility/2006">
          <mc:Choice Requires="x14">
            <control shapeId="8598" r:id="rId211" name="Group Box 406">
              <controlPr defaultSize="0" print="0" autoFill="0" autoPict="0">
                <anchor moveWithCells="1">
                  <from>
                    <xdr:col>2</xdr:col>
                    <xdr:colOff>141514</xdr:colOff>
                    <xdr:row>202</xdr:row>
                    <xdr:rowOff>10886</xdr:rowOff>
                  </from>
                  <to>
                    <xdr:col>7</xdr:col>
                    <xdr:colOff>190500</xdr:colOff>
                    <xdr:row>203</xdr:row>
                    <xdr:rowOff>266700</xdr:rowOff>
                  </to>
                </anchor>
              </controlPr>
            </control>
          </mc:Choice>
        </mc:AlternateContent>
        <mc:AlternateContent xmlns:mc="http://schemas.openxmlformats.org/markup-compatibility/2006">
          <mc:Choice Requires="x14">
            <control shapeId="8599" r:id="rId212" name="Option Button 407">
              <controlPr defaultSize="0" autoFill="0" autoLine="0" autoPict="0">
                <anchor moveWithCells="1">
                  <from>
                    <xdr:col>2</xdr:col>
                    <xdr:colOff>190500</xdr:colOff>
                    <xdr:row>202</xdr:row>
                    <xdr:rowOff>38100</xdr:rowOff>
                  </from>
                  <to>
                    <xdr:col>4</xdr:col>
                    <xdr:colOff>163286</xdr:colOff>
                    <xdr:row>203</xdr:row>
                    <xdr:rowOff>255814</xdr:rowOff>
                  </to>
                </anchor>
              </controlPr>
            </control>
          </mc:Choice>
        </mc:AlternateContent>
        <mc:AlternateContent xmlns:mc="http://schemas.openxmlformats.org/markup-compatibility/2006">
          <mc:Choice Requires="x14">
            <control shapeId="8600" r:id="rId213" name="Option Button 408">
              <controlPr defaultSize="0" autoFill="0" autoLine="0" autoPict="0">
                <anchor moveWithCells="1">
                  <from>
                    <xdr:col>4</xdr:col>
                    <xdr:colOff>103414</xdr:colOff>
                    <xdr:row>202</xdr:row>
                    <xdr:rowOff>38100</xdr:rowOff>
                  </from>
                  <to>
                    <xdr:col>6</xdr:col>
                    <xdr:colOff>76200</xdr:colOff>
                    <xdr:row>203</xdr:row>
                    <xdr:rowOff>255814</xdr:rowOff>
                  </to>
                </anchor>
              </controlPr>
            </control>
          </mc:Choice>
        </mc:AlternateContent>
        <mc:AlternateContent xmlns:mc="http://schemas.openxmlformats.org/markup-compatibility/2006">
          <mc:Choice Requires="x14">
            <control shapeId="8601" r:id="rId214" name="Option Button 409">
              <controlPr defaultSize="0" autoFill="0" autoLine="0" autoPict="0">
                <anchor moveWithCells="1">
                  <from>
                    <xdr:col>5</xdr:col>
                    <xdr:colOff>201386</xdr:colOff>
                    <xdr:row>202</xdr:row>
                    <xdr:rowOff>38100</xdr:rowOff>
                  </from>
                  <to>
                    <xdr:col>7</xdr:col>
                    <xdr:colOff>179614</xdr:colOff>
                    <xdr:row>203</xdr:row>
                    <xdr:rowOff>255814</xdr:rowOff>
                  </to>
                </anchor>
              </controlPr>
            </control>
          </mc:Choice>
        </mc:AlternateContent>
        <mc:AlternateContent xmlns:mc="http://schemas.openxmlformats.org/markup-compatibility/2006">
          <mc:Choice Requires="x14">
            <control shapeId="8602" r:id="rId215" name="Group Box 410">
              <controlPr defaultSize="0" print="0" autoFill="0" autoPict="0">
                <anchor moveWithCells="1">
                  <from>
                    <xdr:col>2</xdr:col>
                    <xdr:colOff>141514</xdr:colOff>
                    <xdr:row>206</xdr:row>
                    <xdr:rowOff>10886</xdr:rowOff>
                  </from>
                  <to>
                    <xdr:col>7</xdr:col>
                    <xdr:colOff>190500</xdr:colOff>
                    <xdr:row>207</xdr:row>
                    <xdr:rowOff>266700</xdr:rowOff>
                  </to>
                </anchor>
              </controlPr>
            </control>
          </mc:Choice>
        </mc:AlternateContent>
        <mc:AlternateContent xmlns:mc="http://schemas.openxmlformats.org/markup-compatibility/2006">
          <mc:Choice Requires="x14">
            <control shapeId="8603" r:id="rId216" name="Option Button 411">
              <controlPr defaultSize="0" autoFill="0" autoLine="0" autoPict="0">
                <anchor moveWithCells="1">
                  <from>
                    <xdr:col>2</xdr:col>
                    <xdr:colOff>190500</xdr:colOff>
                    <xdr:row>206</xdr:row>
                    <xdr:rowOff>38100</xdr:rowOff>
                  </from>
                  <to>
                    <xdr:col>4</xdr:col>
                    <xdr:colOff>163286</xdr:colOff>
                    <xdr:row>207</xdr:row>
                    <xdr:rowOff>255814</xdr:rowOff>
                  </to>
                </anchor>
              </controlPr>
            </control>
          </mc:Choice>
        </mc:AlternateContent>
        <mc:AlternateContent xmlns:mc="http://schemas.openxmlformats.org/markup-compatibility/2006">
          <mc:Choice Requires="x14">
            <control shapeId="8604" r:id="rId217" name="Option Button 412">
              <controlPr defaultSize="0" autoFill="0" autoLine="0" autoPict="0">
                <anchor moveWithCells="1">
                  <from>
                    <xdr:col>4</xdr:col>
                    <xdr:colOff>103414</xdr:colOff>
                    <xdr:row>206</xdr:row>
                    <xdr:rowOff>38100</xdr:rowOff>
                  </from>
                  <to>
                    <xdr:col>6</xdr:col>
                    <xdr:colOff>76200</xdr:colOff>
                    <xdr:row>207</xdr:row>
                    <xdr:rowOff>255814</xdr:rowOff>
                  </to>
                </anchor>
              </controlPr>
            </control>
          </mc:Choice>
        </mc:AlternateContent>
        <mc:AlternateContent xmlns:mc="http://schemas.openxmlformats.org/markup-compatibility/2006">
          <mc:Choice Requires="x14">
            <control shapeId="8605" r:id="rId218" name="Option Button 413">
              <controlPr defaultSize="0" autoFill="0" autoLine="0" autoPict="0">
                <anchor moveWithCells="1">
                  <from>
                    <xdr:col>5</xdr:col>
                    <xdr:colOff>201386</xdr:colOff>
                    <xdr:row>206</xdr:row>
                    <xdr:rowOff>38100</xdr:rowOff>
                  </from>
                  <to>
                    <xdr:col>7</xdr:col>
                    <xdr:colOff>179614</xdr:colOff>
                    <xdr:row>207</xdr:row>
                    <xdr:rowOff>255814</xdr:rowOff>
                  </to>
                </anchor>
              </controlPr>
            </control>
          </mc:Choice>
        </mc:AlternateContent>
        <mc:AlternateContent xmlns:mc="http://schemas.openxmlformats.org/markup-compatibility/2006">
          <mc:Choice Requires="x14">
            <control shapeId="8606" r:id="rId219" name="Group Box 414">
              <controlPr defaultSize="0" print="0" autoFill="0" autoPict="0">
                <anchor moveWithCells="1">
                  <from>
                    <xdr:col>2</xdr:col>
                    <xdr:colOff>141514</xdr:colOff>
                    <xdr:row>210</xdr:row>
                    <xdr:rowOff>10886</xdr:rowOff>
                  </from>
                  <to>
                    <xdr:col>7</xdr:col>
                    <xdr:colOff>190500</xdr:colOff>
                    <xdr:row>211</xdr:row>
                    <xdr:rowOff>266700</xdr:rowOff>
                  </to>
                </anchor>
              </controlPr>
            </control>
          </mc:Choice>
        </mc:AlternateContent>
        <mc:AlternateContent xmlns:mc="http://schemas.openxmlformats.org/markup-compatibility/2006">
          <mc:Choice Requires="x14">
            <control shapeId="8607" r:id="rId220" name="Option Button 415">
              <controlPr defaultSize="0" autoFill="0" autoLine="0" autoPict="0">
                <anchor moveWithCells="1">
                  <from>
                    <xdr:col>2</xdr:col>
                    <xdr:colOff>190500</xdr:colOff>
                    <xdr:row>210</xdr:row>
                    <xdr:rowOff>38100</xdr:rowOff>
                  </from>
                  <to>
                    <xdr:col>4</xdr:col>
                    <xdr:colOff>163286</xdr:colOff>
                    <xdr:row>211</xdr:row>
                    <xdr:rowOff>255814</xdr:rowOff>
                  </to>
                </anchor>
              </controlPr>
            </control>
          </mc:Choice>
        </mc:AlternateContent>
        <mc:AlternateContent xmlns:mc="http://schemas.openxmlformats.org/markup-compatibility/2006">
          <mc:Choice Requires="x14">
            <control shapeId="8608" r:id="rId221" name="Option Button 416">
              <controlPr defaultSize="0" autoFill="0" autoLine="0" autoPict="0">
                <anchor moveWithCells="1">
                  <from>
                    <xdr:col>4</xdr:col>
                    <xdr:colOff>103414</xdr:colOff>
                    <xdr:row>210</xdr:row>
                    <xdr:rowOff>38100</xdr:rowOff>
                  </from>
                  <to>
                    <xdr:col>6</xdr:col>
                    <xdr:colOff>76200</xdr:colOff>
                    <xdr:row>211</xdr:row>
                    <xdr:rowOff>255814</xdr:rowOff>
                  </to>
                </anchor>
              </controlPr>
            </control>
          </mc:Choice>
        </mc:AlternateContent>
        <mc:AlternateContent xmlns:mc="http://schemas.openxmlformats.org/markup-compatibility/2006">
          <mc:Choice Requires="x14">
            <control shapeId="8609" r:id="rId222" name="Option Button 417">
              <controlPr defaultSize="0" autoFill="0" autoLine="0" autoPict="0">
                <anchor moveWithCells="1">
                  <from>
                    <xdr:col>5</xdr:col>
                    <xdr:colOff>201386</xdr:colOff>
                    <xdr:row>210</xdr:row>
                    <xdr:rowOff>38100</xdr:rowOff>
                  </from>
                  <to>
                    <xdr:col>7</xdr:col>
                    <xdr:colOff>179614</xdr:colOff>
                    <xdr:row>211</xdr:row>
                    <xdr:rowOff>255814</xdr:rowOff>
                  </to>
                </anchor>
              </controlPr>
            </control>
          </mc:Choice>
        </mc:AlternateContent>
        <mc:AlternateContent xmlns:mc="http://schemas.openxmlformats.org/markup-compatibility/2006">
          <mc:Choice Requires="x14">
            <control shapeId="8610" r:id="rId223" name="Group Box 418">
              <controlPr defaultSize="0" print="0" autoFill="0" autoPict="0">
                <anchor moveWithCells="1">
                  <from>
                    <xdr:col>2</xdr:col>
                    <xdr:colOff>141514</xdr:colOff>
                    <xdr:row>214</xdr:row>
                    <xdr:rowOff>10886</xdr:rowOff>
                  </from>
                  <to>
                    <xdr:col>7</xdr:col>
                    <xdr:colOff>190500</xdr:colOff>
                    <xdr:row>215</xdr:row>
                    <xdr:rowOff>266700</xdr:rowOff>
                  </to>
                </anchor>
              </controlPr>
            </control>
          </mc:Choice>
        </mc:AlternateContent>
        <mc:AlternateContent xmlns:mc="http://schemas.openxmlformats.org/markup-compatibility/2006">
          <mc:Choice Requires="x14">
            <control shapeId="8611" r:id="rId224" name="Option Button 419">
              <controlPr defaultSize="0" autoFill="0" autoLine="0" autoPict="0">
                <anchor moveWithCells="1">
                  <from>
                    <xdr:col>2</xdr:col>
                    <xdr:colOff>190500</xdr:colOff>
                    <xdr:row>214</xdr:row>
                    <xdr:rowOff>38100</xdr:rowOff>
                  </from>
                  <to>
                    <xdr:col>4</xdr:col>
                    <xdr:colOff>163286</xdr:colOff>
                    <xdr:row>215</xdr:row>
                    <xdr:rowOff>255814</xdr:rowOff>
                  </to>
                </anchor>
              </controlPr>
            </control>
          </mc:Choice>
        </mc:AlternateContent>
        <mc:AlternateContent xmlns:mc="http://schemas.openxmlformats.org/markup-compatibility/2006">
          <mc:Choice Requires="x14">
            <control shapeId="8612" r:id="rId225" name="Option Button 420">
              <controlPr defaultSize="0" autoFill="0" autoLine="0" autoPict="0">
                <anchor moveWithCells="1">
                  <from>
                    <xdr:col>4</xdr:col>
                    <xdr:colOff>103414</xdr:colOff>
                    <xdr:row>214</xdr:row>
                    <xdr:rowOff>38100</xdr:rowOff>
                  </from>
                  <to>
                    <xdr:col>6</xdr:col>
                    <xdr:colOff>76200</xdr:colOff>
                    <xdr:row>215</xdr:row>
                    <xdr:rowOff>255814</xdr:rowOff>
                  </to>
                </anchor>
              </controlPr>
            </control>
          </mc:Choice>
        </mc:AlternateContent>
        <mc:AlternateContent xmlns:mc="http://schemas.openxmlformats.org/markup-compatibility/2006">
          <mc:Choice Requires="x14">
            <control shapeId="8613" r:id="rId226" name="Option Button 421">
              <controlPr defaultSize="0" autoFill="0" autoLine="0" autoPict="0">
                <anchor moveWithCells="1">
                  <from>
                    <xdr:col>5</xdr:col>
                    <xdr:colOff>201386</xdr:colOff>
                    <xdr:row>214</xdr:row>
                    <xdr:rowOff>38100</xdr:rowOff>
                  </from>
                  <to>
                    <xdr:col>7</xdr:col>
                    <xdr:colOff>179614</xdr:colOff>
                    <xdr:row>215</xdr:row>
                    <xdr:rowOff>255814</xdr:rowOff>
                  </to>
                </anchor>
              </controlPr>
            </control>
          </mc:Choice>
        </mc:AlternateContent>
        <mc:AlternateContent xmlns:mc="http://schemas.openxmlformats.org/markup-compatibility/2006">
          <mc:Choice Requires="x14">
            <control shapeId="8614" r:id="rId227" name="Group Box 422">
              <controlPr defaultSize="0" print="0" autoFill="0" autoPict="0">
                <anchor moveWithCells="1">
                  <from>
                    <xdr:col>2</xdr:col>
                    <xdr:colOff>141514</xdr:colOff>
                    <xdr:row>225</xdr:row>
                    <xdr:rowOff>10886</xdr:rowOff>
                  </from>
                  <to>
                    <xdr:col>7</xdr:col>
                    <xdr:colOff>190500</xdr:colOff>
                    <xdr:row>226</xdr:row>
                    <xdr:rowOff>228600</xdr:rowOff>
                  </to>
                </anchor>
              </controlPr>
            </control>
          </mc:Choice>
        </mc:AlternateContent>
        <mc:AlternateContent xmlns:mc="http://schemas.openxmlformats.org/markup-compatibility/2006">
          <mc:Choice Requires="x14">
            <control shapeId="8615" r:id="rId228" name="Option Button 423">
              <controlPr defaultSize="0" autoFill="0" autoLine="0" autoPict="0">
                <anchor moveWithCells="1">
                  <from>
                    <xdr:col>2</xdr:col>
                    <xdr:colOff>190500</xdr:colOff>
                    <xdr:row>225</xdr:row>
                    <xdr:rowOff>38100</xdr:rowOff>
                  </from>
                  <to>
                    <xdr:col>4</xdr:col>
                    <xdr:colOff>163286</xdr:colOff>
                    <xdr:row>226</xdr:row>
                    <xdr:rowOff>217714</xdr:rowOff>
                  </to>
                </anchor>
              </controlPr>
            </control>
          </mc:Choice>
        </mc:AlternateContent>
        <mc:AlternateContent xmlns:mc="http://schemas.openxmlformats.org/markup-compatibility/2006">
          <mc:Choice Requires="x14">
            <control shapeId="8616" r:id="rId229" name="Option Button 424">
              <controlPr defaultSize="0" autoFill="0" autoLine="0" autoPict="0">
                <anchor moveWithCells="1">
                  <from>
                    <xdr:col>4</xdr:col>
                    <xdr:colOff>103414</xdr:colOff>
                    <xdr:row>225</xdr:row>
                    <xdr:rowOff>38100</xdr:rowOff>
                  </from>
                  <to>
                    <xdr:col>6</xdr:col>
                    <xdr:colOff>76200</xdr:colOff>
                    <xdr:row>226</xdr:row>
                    <xdr:rowOff>217714</xdr:rowOff>
                  </to>
                </anchor>
              </controlPr>
            </control>
          </mc:Choice>
        </mc:AlternateContent>
        <mc:AlternateContent xmlns:mc="http://schemas.openxmlformats.org/markup-compatibility/2006">
          <mc:Choice Requires="x14">
            <control shapeId="8617" r:id="rId230" name="Option Button 425">
              <controlPr defaultSize="0" autoFill="0" autoLine="0" autoPict="0">
                <anchor moveWithCells="1">
                  <from>
                    <xdr:col>5</xdr:col>
                    <xdr:colOff>201386</xdr:colOff>
                    <xdr:row>225</xdr:row>
                    <xdr:rowOff>38100</xdr:rowOff>
                  </from>
                  <to>
                    <xdr:col>7</xdr:col>
                    <xdr:colOff>179614</xdr:colOff>
                    <xdr:row>226</xdr:row>
                    <xdr:rowOff>217714</xdr:rowOff>
                  </to>
                </anchor>
              </controlPr>
            </control>
          </mc:Choice>
        </mc:AlternateContent>
        <mc:AlternateContent xmlns:mc="http://schemas.openxmlformats.org/markup-compatibility/2006">
          <mc:Choice Requires="x14">
            <control shapeId="8618" r:id="rId231" name="Group Box 426">
              <controlPr defaultSize="0" print="0" autoFill="0" autoPict="0">
                <anchor moveWithCells="1">
                  <from>
                    <xdr:col>2</xdr:col>
                    <xdr:colOff>141514</xdr:colOff>
                    <xdr:row>229</xdr:row>
                    <xdr:rowOff>10886</xdr:rowOff>
                  </from>
                  <to>
                    <xdr:col>7</xdr:col>
                    <xdr:colOff>190500</xdr:colOff>
                    <xdr:row>230</xdr:row>
                    <xdr:rowOff>255814</xdr:rowOff>
                  </to>
                </anchor>
              </controlPr>
            </control>
          </mc:Choice>
        </mc:AlternateContent>
        <mc:AlternateContent xmlns:mc="http://schemas.openxmlformats.org/markup-compatibility/2006">
          <mc:Choice Requires="x14">
            <control shapeId="8619" r:id="rId232" name="Option Button 427">
              <controlPr defaultSize="0" autoFill="0" autoLine="0" autoPict="0">
                <anchor moveWithCells="1">
                  <from>
                    <xdr:col>2</xdr:col>
                    <xdr:colOff>190500</xdr:colOff>
                    <xdr:row>229</xdr:row>
                    <xdr:rowOff>38100</xdr:rowOff>
                  </from>
                  <to>
                    <xdr:col>4</xdr:col>
                    <xdr:colOff>163286</xdr:colOff>
                    <xdr:row>230</xdr:row>
                    <xdr:rowOff>239486</xdr:rowOff>
                  </to>
                </anchor>
              </controlPr>
            </control>
          </mc:Choice>
        </mc:AlternateContent>
        <mc:AlternateContent xmlns:mc="http://schemas.openxmlformats.org/markup-compatibility/2006">
          <mc:Choice Requires="x14">
            <control shapeId="8620" r:id="rId233" name="Option Button 428">
              <controlPr defaultSize="0" autoFill="0" autoLine="0" autoPict="0">
                <anchor moveWithCells="1">
                  <from>
                    <xdr:col>4</xdr:col>
                    <xdr:colOff>103414</xdr:colOff>
                    <xdr:row>229</xdr:row>
                    <xdr:rowOff>38100</xdr:rowOff>
                  </from>
                  <to>
                    <xdr:col>6</xdr:col>
                    <xdr:colOff>76200</xdr:colOff>
                    <xdr:row>230</xdr:row>
                    <xdr:rowOff>239486</xdr:rowOff>
                  </to>
                </anchor>
              </controlPr>
            </control>
          </mc:Choice>
        </mc:AlternateContent>
        <mc:AlternateContent xmlns:mc="http://schemas.openxmlformats.org/markup-compatibility/2006">
          <mc:Choice Requires="x14">
            <control shapeId="8621" r:id="rId234" name="Option Button 429">
              <controlPr defaultSize="0" autoFill="0" autoLine="0" autoPict="0">
                <anchor moveWithCells="1">
                  <from>
                    <xdr:col>5</xdr:col>
                    <xdr:colOff>201386</xdr:colOff>
                    <xdr:row>229</xdr:row>
                    <xdr:rowOff>38100</xdr:rowOff>
                  </from>
                  <to>
                    <xdr:col>7</xdr:col>
                    <xdr:colOff>179614</xdr:colOff>
                    <xdr:row>230</xdr:row>
                    <xdr:rowOff>239486</xdr:rowOff>
                  </to>
                </anchor>
              </controlPr>
            </control>
          </mc:Choice>
        </mc:AlternateContent>
        <mc:AlternateContent xmlns:mc="http://schemas.openxmlformats.org/markup-compatibility/2006">
          <mc:Choice Requires="x14">
            <control shapeId="8622" r:id="rId235" name="Group Box 430">
              <controlPr defaultSize="0" print="0" autoFill="0" autoPict="0">
                <anchor moveWithCells="1">
                  <from>
                    <xdr:col>2</xdr:col>
                    <xdr:colOff>141514</xdr:colOff>
                    <xdr:row>233</xdr:row>
                    <xdr:rowOff>10886</xdr:rowOff>
                  </from>
                  <to>
                    <xdr:col>7</xdr:col>
                    <xdr:colOff>190500</xdr:colOff>
                    <xdr:row>234</xdr:row>
                    <xdr:rowOff>266700</xdr:rowOff>
                  </to>
                </anchor>
              </controlPr>
            </control>
          </mc:Choice>
        </mc:AlternateContent>
        <mc:AlternateContent xmlns:mc="http://schemas.openxmlformats.org/markup-compatibility/2006">
          <mc:Choice Requires="x14">
            <control shapeId="8623" r:id="rId236" name="Option Button 431">
              <controlPr defaultSize="0" autoFill="0" autoLine="0" autoPict="0">
                <anchor moveWithCells="1">
                  <from>
                    <xdr:col>2</xdr:col>
                    <xdr:colOff>190500</xdr:colOff>
                    <xdr:row>233</xdr:row>
                    <xdr:rowOff>38100</xdr:rowOff>
                  </from>
                  <to>
                    <xdr:col>4</xdr:col>
                    <xdr:colOff>163286</xdr:colOff>
                    <xdr:row>234</xdr:row>
                    <xdr:rowOff>255814</xdr:rowOff>
                  </to>
                </anchor>
              </controlPr>
            </control>
          </mc:Choice>
        </mc:AlternateContent>
        <mc:AlternateContent xmlns:mc="http://schemas.openxmlformats.org/markup-compatibility/2006">
          <mc:Choice Requires="x14">
            <control shapeId="8624" r:id="rId237" name="Option Button 432">
              <controlPr defaultSize="0" autoFill="0" autoLine="0" autoPict="0">
                <anchor moveWithCells="1">
                  <from>
                    <xdr:col>4</xdr:col>
                    <xdr:colOff>103414</xdr:colOff>
                    <xdr:row>233</xdr:row>
                    <xdr:rowOff>38100</xdr:rowOff>
                  </from>
                  <to>
                    <xdr:col>6</xdr:col>
                    <xdr:colOff>76200</xdr:colOff>
                    <xdr:row>234</xdr:row>
                    <xdr:rowOff>255814</xdr:rowOff>
                  </to>
                </anchor>
              </controlPr>
            </control>
          </mc:Choice>
        </mc:AlternateContent>
        <mc:AlternateContent xmlns:mc="http://schemas.openxmlformats.org/markup-compatibility/2006">
          <mc:Choice Requires="x14">
            <control shapeId="8625" r:id="rId238" name="Option Button 433">
              <controlPr defaultSize="0" autoFill="0" autoLine="0" autoPict="0">
                <anchor moveWithCells="1">
                  <from>
                    <xdr:col>5</xdr:col>
                    <xdr:colOff>201386</xdr:colOff>
                    <xdr:row>233</xdr:row>
                    <xdr:rowOff>38100</xdr:rowOff>
                  </from>
                  <to>
                    <xdr:col>7</xdr:col>
                    <xdr:colOff>179614</xdr:colOff>
                    <xdr:row>234</xdr:row>
                    <xdr:rowOff>255814</xdr:rowOff>
                  </to>
                </anchor>
              </controlPr>
            </control>
          </mc:Choice>
        </mc:AlternateContent>
        <mc:AlternateContent xmlns:mc="http://schemas.openxmlformats.org/markup-compatibility/2006">
          <mc:Choice Requires="x14">
            <control shapeId="8626" r:id="rId239" name="Group Box 434">
              <controlPr defaultSize="0" print="0" autoFill="0" autoPict="0">
                <anchor moveWithCells="1">
                  <from>
                    <xdr:col>2</xdr:col>
                    <xdr:colOff>141514</xdr:colOff>
                    <xdr:row>237</xdr:row>
                    <xdr:rowOff>10886</xdr:rowOff>
                  </from>
                  <to>
                    <xdr:col>7</xdr:col>
                    <xdr:colOff>190500</xdr:colOff>
                    <xdr:row>238</xdr:row>
                    <xdr:rowOff>266700</xdr:rowOff>
                  </to>
                </anchor>
              </controlPr>
            </control>
          </mc:Choice>
        </mc:AlternateContent>
        <mc:AlternateContent xmlns:mc="http://schemas.openxmlformats.org/markup-compatibility/2006">
          <mc:Choice Requires="x14">
            <control shapeId="8627" r:id="rId240" name="Option Button 435">
              <controlPr defaultSize="0" autoFill="0" autoLine="0" autoPict="0">
                <anchor moveWithCells="1">
                  <from>
                    <xdr:col>2</xdr:col>
                    <xdr:colOff>190500</xdr:colOff>
                    <xdr:row>237</xdr:row>
                    <xdr:rowOff>38100</xdr:rowOff>
                  </from>
                  <to>
                    <xdr:col>4</xdr:col>
                    <xdr:colOff>163286</xdr:colOff>
                    <xdr:row>238</xdr:row>
                    <xdr:rowOff>255814</xdr:rowOff>
                  </to>
                </anchor>
              </controlPr>
            </control>
          </mc:Choice>
        </mc:AlternateContent>
        <mc:AlternateContent xmlns:mc="http://schemas.openxmlformats.org/markup-compatibility/2006">
          <mc:Choice Requires="x14">
            <control shapeId="8628" r:id="rId241" name="Option Button 436">
              <controlPr defaultSize="0" autoFill="0" autoLine="0" autoPict="0">
                <anchor moveWithCells="1">
                  <from>
                    <xdr:col>4</xdr:col>
                    <xdr:colOff>103414</xdr:colOff>
                    <xdr:row>237</xdr:row>
                    <xdr:rowOff>38100</xdr:rowOff>
                  </from>
                  <to>
                    <xdr:col>6</xdr:col>
                    <xdr:colOff>76200</xdr:colOff>
                    <xdr:row>238</xdr:row>
                    <xdr:rowOff>255814</xdr:rowOff>
                  </to>
                </anchor>
              </controlPr>
            </control>
          </mc:Choice>
        </mc:AlternateContent>
        <mc:AlternateContent xmlns:mc="http://schemas.openxmlformats.org/markup-compatibility/2006">
          <mc:Choice Requires="x14">
            <control shapeId="8629" r:id="rId242" name="Option Button 437">
              <controlPr defaultSize="0" autoFill="0" autoLine="0" autoPict="0">
                <anchor moveWithCells="1">
                  <from>
                    <xdr:col>5</xdr:col>
                    <xdr:colOff>201386</xdr:colOff>
                    <xdr:row>237</xdr:row>
                    <xdr:rowOff>38100</xdr:rowOff>
                  </from>
                  <to>
                    <xdr:col>7</xdr:col>
                    <xdr:colOff>179614</xdr:colOff>
                    <xdr:row>238</xdr:row>
                    <xdr:rowOff>255814</xdr:rowOff>
                  </to>
                </anchor>
              </controlPr>
            </control>
          </mc:Choice>
        </mc:AlternateContent>
        <mc:AlternateContent xmlns:mc="http://schemas.openxmlformats.org/markup-compatibility/2006">
          <mc:Choice Requires="x14">
            <control shapeId="8630" r:id="rId243" name="Group Box 438">
              <controlPr defaultSize="0" print="0" autoFill="0" autoPict="0">
                <anchor moveWithCells="1">
                  <from>
                    <xdr:col>2</xdr:col>
                    <xdr:colOff>141514</xdr:colOff>
                    <xdr:row>241</xdr:row>
                    <xdr:rowOff>10886</xdr:rowOff>
                  </from>
                  <to>
                    <xdr:col>7</xdr:col>
                    <xdr:colOff>190500</xdr:colOff>
                    <xdr:row>243</xdr:row>
                    <xdr:rowOff>48986</xdr:rowOff>
                  </to>
                </anchor>
              </controlPr>
            </control>
          </mc:Choice>
        </mc:AlternateContent>
        <mc:AlternateContent xmlns:mc="http://schemas.openxmlformats.org/markup-compatibility/2006">
          <mc:Choice Requires="x14">
            <control shapeId="8631" r:id="rId244" name="Option Button 439">
              <controlPr defaultSize="0" autoFill="0" autoLine="0" autoPict="0">
                <anchor moveWithCells="1">
                  <from>
                    <xdr:col>2</xdr:col>
                    <xdr:colOff>190500</xdr:colOff>
                    <xdr:row>241</xdr:row>
                    <xdr:rowOff>38100</xdr:rowOff>
                  </from>
                  <to>
                    <xdr:col>4</xdr:col>
                    <xdr:colOff>163286</xdr:colOff>
                    <xdr:row>243</xdr:row>
                    <xdr:rowOff>38100</xdr:rowOff>
                  </to>
                </anchor>
              </controlPr>
            </control>
          </mc:Choice>
        </mc:AlternateContent>
        <mc:AlternateContent xmlns:mc="http://schemas.openxmlformats.org/markup-compatibility/2006">
          <mc:Choice Requires="x14">
            <control shapeId="8632" r:id="rId245" name="Option Button 440">
              <controlPr defaultSize="0" autoFill="0" autoLine="0" autoPict="0">
                <anchor moveWithCells="1">
                  <from>
                    <xdr:col>4</xdr:col>
                    <xdr:colOff>103414</xdr:colOff>
                    <xdr:row>241</xdr:row>
                    <xdr:rowOff>38100</xdr:rowOff>
                  </from>
                  <to>
                    <xdr:col>6</xdr:col>
                    <xdr:colOff>76200</xdr:colOff>
                    <xdr:row>243</xdr:row>
                    <xdr:rowOff>38100</xdr:rowOff>
                  </to>
                </anchor>
              </controlPr>
            </control>
          </mc:Choice>
        </mc:AlternateContent>
        <mc:AlternateContent xmlns:mc="http://schemas.openxmlformats.org/markup-compatibility/2006">
          <mc:Choice Requires="x14">
            <control shapeId="8633" r:id="rId246" name="Option Button 441">
              <controlPr defaultSize="0" autoFill="0" autoLine="0" autoPict="0">
                <anchor moveWithCells="1">
                  <from>
                    <xdr:col>5</xdr:col>
                    <xdr:colOff>201386</xdr:colOff>
                    <xdr:row>241</xdr:row>
                    <xdr:rowOff>38100</xdr:rowOff>
                  </from>
                  <to>
                    <xdr:col>7</xdr:col>
                    <xdr:colOff>179614</xdr:colOff>
                    <xdr:row>243</xdr:row>
                    <xdr:rowOff>38100</xdr:rowOff>
                  </to>
                </anchor>
              </controlPr>
            </control>
          </mc:Choice>
        </mc:AlternateContent>
        <mc:AlternateContent xmlns:mc="http://schemas.openxmlformats.org/markup-compatibility/2006">
          <mc:Choice Requires="x14">
            <control shapeId="8634" r:id="rId247" name="Group Box 442">
              <controlPr defaultSize="0" print="0" autoFill="0" autoPict="0">
                <anchor moveWithCells="1">
                  <from>
                    <xdr:col>2</xdr:col>
                    <xdr:colOff>141514</xdr:colOff>
                    <xdr:row>196</xdr:row>
                    <xdr:rowOff>10886</xdr:rowOff>
                  </from>
                  <to>
                    <xdr:col>7</xdr:col>
                    <xdr:colOff>190500</xdr:colOff>
                    <xdr:row>197</xdr:row>
                    <xdr:rowOff>266700</xdr:rowOff>
                  </to>
                </anchor>
              </controlPr>
            </control>
          </mc:Choice>
        </mc:AlternateContent>
        <mc:AlternateContent xmlns:mc="http://schemas.openxmlformats.org/markup-compatibility/2006">
          <mc:Choice Requires="x14">
            <control shapeId="8635" r:id="rId248" name="Option Button 443">
              <controlPr defaultSize="0" autoFill="0" autoLine="0" autoPict="0">
                <anchor moveWithCells="1">
                  <from>
                    <xdr:col>2</xdr:col>
                    <xdr:colOff>190500</xdr:colOff>
                    <xdr:row>196</xdr:row>
                    <xdr:rowOff>38100</xdr:rowOff>
                  </from>
                  <to>
                    <xdr:col>4</xdr:col>
                    <xdr:colOff>163286</xdr:colOff>
                    <xdr:row>197</xdr:row>
                    <xdr:rowOff>255814</xdr:rowOff>
                  </to>
                </anchor>
              </controlPr>
            </control>
          </mc:Choice>
        </mc:AlternateContent>
        <mc:AlternateContent xmlns:mc="http://schemas.openxmlformats.org/markup-compatibility/2006">
          <mc:Choice Requires="x14">
            <control shapeId="8636" r:id="rId249" name="Option Button 444">
              <controlPr defaultSize="0" autoFill="0" autoLine="0" autoPict="0">
                <anchor moveWithCells="1">
                  <from>
                    <xdr:col>4</xdr:col>
                    <xdr:colOff>103414</xdr:colOff>
                    <xdr:row>196</xdr:row>
                    <xdr:rowOff>38100</xdr:rowOff>
                  </from>
                  <to>
                    <xdr:col>6</xdr:col>
                    <xdr:colOff>76200</xdr:colOff>
                    <xdr:row>197</xdr:row>
                    <xdr:rowOff>255814</xdr:rowOff>
                  </to>
                </anchor>
              </controlPr>
            </control>
          </mc:Choice>
        </mc:AlternateContent>
        <mc:AlternateContent xmlns:mc="http://schemas.openxmlformats.org/markup-compatibility/2006">
          <mc:Choice Requires="x14">
            <control shapeId="8694" r:id="rId250" name="Check Box 502">
              <controlPr defaultSize="0" autoFill="0" autoLine="0" autoPict="0">
                <anchor moveWithCells="1">
                  <from>
                    <xdr:col>4</xdr:col>
                    <xdr:colOff>163286</xdr:colOff>
                    <xdr:row>171</xdr:row>
                    <xdr:rowOff>65314</xdr:rowOff>
                  </from>
                  <to>
                    <xdr:col>6</xdr:col>
                    <xdr:colOff>141514</xdr:colOff>
                    <xdr:row>173</xdr:row>
                    <xdr:rowOff>27214</xdr:rowOff>
                  </to>
                </anchor>
              </controlPr>
            </control>
          </mc:Choice>
        </mc:AlternateContent>
        <mc:AlternateContent xmlns:mc="http://schemas.openxmlformats.org/markup-compatibility/2006">
          <mc:Choice Requires="x14">
            <control shapeId="8695" r:id="rId251" name="Check Box 503">
              <controlPr defaultSize="0" autoFill="0" autoLine="0" autoPict="0">
                <anchor moveWithCells="1">
                  <from>
                    <xdr:col>16</xdr:col>
                    <xdr:colOff>163286</xdr:colOff>
                    <xdr:row>171</xdr:row>
                    <xdr:rowOff>65314</xdr:rowOff>
                  </from>
                  <to>
                    <xdr:col>18</xdr:col>
                    <xdr:colOff>141514</xdr:colOff>
                    <xdr:row>173</xdr:row>
                    <xdr:rowOff>48986</xdr:rowOff>
                  </to>
                </anchor>
              </controlPr>
            </control>
          </mc:Choice>
        </mc:AlternateContent>
        <mc:AlternateContent xmlns:mc="http://schemas.openxmlformats.org/markup-compatibility/2006">
          <mc:Choice Requires="x14">
            <control shapeId="8696" r:id="rId252" name="Check Box 504">
              <controlPr defaultSize="0" autoFill="0" autoLine="0" autoPict="0">
                <anchor moveWithCells="1">
                  <from>
                    <xdr:col>32</xdr:col>
                    <xdr:colOff>163286</xdr:colOff>
                    <xdr:row>171</xdr:row>
                    <xdr:rowOff>65314</xdr:rowOff>
                  </from>
                  <to>
                    <xdr:col>34</xdr:col>
                    <xdr:colOff>141514</xdr:colOff>
                    <xdr:row>173</xdr:row>
                    <xdr:rowOff>27214</xdr:rowOff>
                  </to>
                </anchor>
              </controlPr>
            </control>
          </mc:Choice>
        </mc:AlternateContent>
        <mc:AlternateContent xmlns:mc="http://schemas.openxmlformats.org/markup-compatibility/2006">
          <mc:Choice Requires="x14">
            <control shapeId="8697" r:id="rId253" name="Check Box 505">
              <controlPr defaultSize="0" autoFill="0" autoLine="0" autoPict="0">
                <anchor moveWithCells="1">
                  <from>
                    <xdr:col>4</xdr:col>
                    <xdr:colOff>163286</xdr:colOff>
                    <xdr:row>173</xdr:row>
                    <xdr:rowOff>65314</xdr:rowOff>
                  </from>
                  <to>
                    <xdr:col>6</xdr:col>
                    <xdr:colOff>141514</xdr:colOff>
                    <xdr:row>175</xdr:row>
                    <xdr:rowOff>27214</xdr:rowOff>
                  </to>
                </anchor>
              </controlPr>
            </control>
          </mc:Choice>
        </mc:AlternateContent>
        <mc:AlternateContent xmlns:mc="http://schemas.openxmlformats.org/markup-compatibility/2006">
          <mc:Choice Requires="x14">
            <control shapeId="8698" r:id="rId254" name="Check Box 506">
              <controlPr defaultSize="0" autoFill="0" autoLine="0" autoPict="0">
                <anchor moveWithCells="1">
                  <from>
                    <xdr:col>16</xdr:col>
                    <xdr:colOff>152400</xdr:colOff>
                    <xdr:row>173</xdr:row>
                    <xdr:rowOff>87086</xdr:rowOff>
                  </from>
                  <to>
                    <xdr:col>18</xdr:col>
                    <xdr:colOff>125186</xdr:colOff>
                    <xdr:row>175</xdr:row>
                    <xdr:rowOff>48986</xdr:rowOff>
                  </to>
                </anchor>
              </controlPr>
            </control>
          </mc:Choice>
        </mc:AlternateContent>
        <mc:AlternateContent xmlns:mc="http://schemas.openxmlformats.org/markup-compatibility/2006">
          <mc:Choice Requires="x14">
            <control shapeId="8699" r:id="rId255" name="Check Box 507">
              <controlPr defaultSize="0" autoFill="0" autoLine="0" autoPict="0">
                <anchor moveWithCells="1">
                  <from>
                    <xdr:col>32</xdr:col>
                    <xdr:colOff>163286</xdr:colOff>
                    <xdr:row>173</xdr:row>
                    <xdr:rowOff>65314</xdr:rowOff>
                  </from>
                  <to>
                    <xdr:col>34</xdr:col>
                    <xdr:colOff>141514</xdr:colOff>
                    <xdr:row>175</xdr:row>
                    <xdr:rowOff>27214</xdr:rowOff>
                  </to>
                </anchor>
              </controlPr>
            </control>
          </mc:Choice>
        </mc:AlternateContent>
        <mc:AlternateContent xmlns:mc="http://schemas.openxmlformats.org/markup-compatibility/2006">
          <mc:Choice Requires="x14">
            <control shapeId="8700" r:id="rId256" name="Check Box 508">
              <controlPr defaultSize="0" autoFill="0" autoLine="0" autoPict="0">
                <anchor moveWithCells="1">
                  <from>
                    <xdr:col>4</xdr:col>
                    <xdr:colOff>163286</xdr:colOff>
                    <xdr:row>175</xdr:row>
                    <xdr:rowOff>65314</xdr:rowOff>
                  </from>
                  <to>
                    <xdr:col>6</xdr:col>
                    <xdr:colOff>141514</xdr:colOff>
                    <xdr:row>177</xdr:row>
                    <xdr:rowOff>27214</xdr:rowOff>
                  </to>
                </anchor>
              </controlPr>
            </control>
          </mc:Choice>
        </mc:AlternateContent>
        <mc:AlternateContent xmlns:mc="http://schemas.openxmlformats.org/markup-compatibility/2006">
          <mc:Choice Requires="x14">
            <control shapeId="8701" r:id="rId257" name="Check Box 509">
              <controlPr defaultSize="0" autoFill="0" autoLine="0" autoPict="0">
                <anchor moveWithCells="1">
                  <from>
                    <xdr:col>16</xdr:col>
                    <xdr:colOff>163286</xdr:colOff>
                    <xdr:row>175</xdr:row>
                    <xdr:rowOff>65314</xdr:rowOff>
                  </from>
                  <to>
                    <xdr:col>18</xdr:col>
                    <xdr:colOff>141514</xdr:colOff>
                    <xdr:row>177</xdr:row>
                    <xdr:rowOff>27214</xdr:rowOff>
                  </to>
                </anchor>
              </controlPr>
            </control>
          </mc:Choice>
        </mc:AlternateContent>
        <mc:AlternateContent xmlns:mc="http://schemas.openxmlformats.org/markup-compatibility/2006">
          <mc:Choice Requires="x14">
            <control shapeId="8702" r:id="rId258" name="Check Box 510">
              <controlPr defaultSize="0" autoFill="0" autoLine="0" autoPict="0">
                <anchor moveWithCells="1">
                  <from>
                    <xdr:col>32</xdr:col>
                    <xdr:colOff>163286</xdr:colOff>
                    <xdr:row>175</xdr:row>
                    <xdr:rowOff>65314</xdr:rowOff>
                  </from>
                  <to>
                    <xdr:col>34</xdr:col>
                    <xdr:colOff>141514</xdr:colOff>
                    <xdr:row>177</xdr:row>
                    <xdr:rowOff>27214</xdr:rowOff>
                  </to>
                </anchor>
              </controlPr>
            </control>
          </mc:Choice>
        </mc:AlternateContent>
        <mc:AlternateContent xmlns:mc="http://schemas.openxmlformats.org/markup-compatibility/2006">
          <mc:Choice Requires="x14">
            <control shapeId="8703" r:id="rId259" name="Check Box 511">
              <controlPr defaultSize="0" autoFill="0" autoLine="0" autoPict="0">
                <anchor moveWithCells="1">
                  <from>
                    <xdr:col>4</xdr:col>
                    <xdr:colOff>152400</xdr:colOff>
                    <xdr:row>177</xdr:row>
                    <xdr:rowOff>65314</xdr:rowOff>
                  </from>
                  <to>
                    <xdr:col>6</xdr:col>
                    <xdr:colOff>125186</xdr:colOff>
                    <xdr:row>179</xdr:row>
                    <xdr:rowOff>27214</xdr:rowOff>
                  </to>
                </anchor>
              </controlPr>
            </control>
          </mc:Choice>
        </mc:AlternateContent>
        <mc:AlternateContent xmlns:mc="http://schemas.openxmlformats.org/markup-compatibility/2006">
          <mc:Choice Requires="x14">
            <control shapeId="8704" r:id="rId260" name="Check Box 512">
              <controlPr defaultSize="0" autoFill="0" autoLine="0" autoPict="0">
                <anchor moveWithCells="1">
                  <from>
                    <xdr:col>16</xdr:col>
                    <xdr:colOff>163286</xdr:colOff>
                    <xdr:row>177</xdr:row>
                    <xdr:rowOff>65314</xdr:rowOff>
                  </from>
                  <to>
                    <xdr:col>18</xdr:col>
                    <xdr:colOff>141514</xdr:colOff>
                    <xdr:row>179</xdr:row>
                    <xdr:rowOff>27214</xdr:rowOff>
                  </to>
                </anchor>
              </controlPr>
            </control>
          </mc:Choice>
        </mc:AlternateContent>
        <mc:AlternateContent xmlns:mc="http://schemas.openxmlformats.org/markup-compatibility/2006">
          <mc:Choice Requires="x14">
            <control shapeId="8705" r:id="rId261" name="Check Box 513">
              <controlPr defaultSize="0" autoFill="0" autoLine="0" autoPict="0">
                <anchor moveWithCells="1">
                  <from>
                    <xdr:col>32</xdr:col>
                    <xdr:colOff>163286</xdr:colOff>
                    <xdr:row>177</xdr:row>
                    <xdr:rowOff>65314</xdr:rowOff>
                  </from>
                  <to>
                    <xdr:col>34</xdr:col>
                    <xdr:colOff>141514</xdr:colOff>
                    <xdr:row>179</xdr:row>
                    <xdr:rowOff>27214</xdr:rowOff>
                  </to>
                </anchor>
              </controlPr>
            </control>
          </mc:Choice>
        </mc:AlternateContent>
        <mc:AlternateContent xmlns:mc="http://schemas.openxmlformats.org/markup-compatibility/2006">
          <mc:Choice Requires="x14">
            <control shapeId="8706" r:id="rId262" name="Check Box 514">
              <controlPr defaultSize="0" autoFill="0" autoLine="0" autoPict="0">
                <anchor moveWithCells="1">
                  <from>
                    <xdr:col>4</xdr:col>
                    <xdr:colOff>163286</xdr:colOff>
                    <xdr:row>179</xdr:row>
                    <xdr:rowOff>65314</xdr:rowOff>
                  </from>
                  <to>
                    <xdr:col>6</xdr:col>
                    <xdr:colOff>141514</xdr:colOff>
                    <xdr:row>181</xdr:row>
                    <xdr:rowOff>27214</xdr:rowOff>
                  </to>
                </anchor>
              </controlPr>
            </control>
          </mc:Choice>
        </mc:AlternateContent>
        <mc:AlternateContent xmlns:mc="http://schemas.openxmlformats.org/markup-compatibility/2006">
          <mc:Choice Requires="x14">
            <control shapeId="8707" r:id="rId263" name="Check Box 515">
              <controlPr defaultSize="0" autoFill="0" autoLine="0" autoPict="0">
                <anchor moveWithCells="1">
                  <from>
                    <xdr:col>16</xdr:col>
                    <xdr:colOff>163286</xdr:colOff>
                    <xdr:row>179</xdr:row>
                    <xdr:rowOff>65314</xdr:rowOff>
                  </from>
                  <to>
                    <xdr:col>18</xdr:col>
                    <xdr:colOff>141514</xdr:colOff>
                    <xdr:row>181</xdr:row>
                    <xdr:rowOff>27214</xdr:rowOff>
                  </to>
                </anchor>
              </controlPr>
            </control>
          </mc:Choice>
        </mc:AlternateContent>
        <mc:AlternateContent xmlns:mc="http://schemas.openxmlformats.org/markup-compatibility/2006">
          <mc:Choice Requires="x14">
            <control shapeId="8708" r:id="rId264" name="Check Box 516">
              <controlPr defaultSize="0" autoFill="0" autoLine="0" autoPict="0">
                <anchor moveWithCells="1">
                  <from>
                    <xdr:col>32</xdr:col>
                    <xdr:colOff>163286</xdr:colOff>
                    <xdr:row>179</xdr:row>
                    <xdr:rowOff>65314</xdr:rowOff>
                  </from>
                  <to>
                    <xdr:col>34</xdr:col>
                    <xdr:colOff>141514</xdr:colOff>
                    <xdr:row>181</xdr:row>
                    <xdr:rowOff>27214</xdr:rowOff>
                  </to>
                </anchor>
              </controlPr>
            </control>
          </mc:Choice>
        </mc:AlternateContent>
        <mc:AlternateContent xmlns:mc="http://schemas.openxmlformats.org/markup-compatibility/2006">
          <mc:Choice Requires="x14">
            <control shapeId="8711" r:id="rId265" name="Check Box 519">
              <controlPr defaultSize="0" autoFill="0" autoLine="0" autoPict="0">
                <anchor moveWithCells="1">
                  <from>
                    <xdr:col>14</xdr:col>
                    <xdr:colOff>38100</xdr:colOff>
                    <xdr:row>45</xdr:row>
                    <xdr:rowOff>38100</xdr:rowOff>
                  </from>
                  <to>
                    <xdr:col>22</xdr:col>
                    <xdr:colOff>27214</xdr:colOff>
                    <xdr:row>47</xdr:row>
                    <xdr:rowOff>0</xdr:rowOff>
                  </to>
                </anchor>
              </controlPr>
            </control>
          </mc:Choice>
        </mc:AlternateContent>
        <mc:AlternateContent xmlns:mc="http://schemas.openxmlformats.org/markup-compatibility/2006">
          <mc:Choice Requires="x14">
            <control shapeId="8712" r:id="rId266" name="Check Box 520">
              <controlPr defaultSize="0" autoFill="0" autoLine="0" autoPict="0">
                <anchor moveWithCells="1">
                  <from>
                    <xdr:col>22</xdr:col>
                    <xdr:colOff>163286</xdr:colOff>
                    <xdr:row>45</xdr:row>
                    <xdr:rowOff>48986</xdr:rowOff>
                  </from>
                  <to>
                    <xdr:col>28</xdr:col>
                    <xdr:colOff>76200</xdr:colOff>
                    <xdr:row>47</xdr:row>
                    <xdr:rowOff>10886</xdr:rowOff>
                  </to>
                </anchor>
              </controlPr>
            </control>
          </mc:Choice>
        </mc:AlternateContent>
        <mc:AlternateContent xmlns:mc="http://schemas.openxmlformats.org/markup-compatibility/2006">
          <mc:Choice Requires="x14">
            <control shapeId="8713" r:id="rId267" name="Check Box 521">
              <controlPr defaultSize="0" autoFill="0" autoLine="0" autoPict="0">
                <anchor moveWithCells="1">
                  <from>
                    <xdr:col>29</xdr:col>
                    <xdr:colOff>10886</xdr:colOff>
                    <xdr:row>45</xdr:row>
                    <xdr:rowOff>48986</xdr:rowOff>
                  </from>
                  <to>
                    <xdr:col>35</xdr:col>
                    <xdr:colOff>179614</xdr:colOff>
                    <xdr:row>47</xdr:row>
                    <xdr:rowOff>10886</xdr:rowOff>
                  </to>
                </anchor>
              </controlPr>
            </control>
          </mc:Choice>
        </mc:AlternateContent>
        <mc:AlternateContent xmlns:mc="http://schemas.openxmlformats.org/markup-compatibility/2006">
          <mc:Choice Requires="x14">
            <control shapeId="8714" r:id="rId268" name="Check Box 522">
              <controlPr defaultSize="0" autoFill="0" autoLine="0" autoPict="0">
                <anchor moveWithCells="1">
                  <from>
                    <xdr:col>36</xdr:col>
                    <xdr:colOff>125186</xdr:colOff>
                    <xdr:row>45</xdr:row>
                    <xdr:rowOff>48986</xdr:rowOff>
                  </from>
                  <to>
                    <xdr:col>43</xdr:col>
                    <xdr:colOff>217714</xdr:colOff>
                    <xdr:row>47</xdr:row>
                    <xdr:rowOff>10886</xdr:rowOff>
                  </to>
                </anchor>
              </controlPr>
            </control>
          </mc:Choice>
        </mc:AlternateContent>
        <mc:AlternateContent xmlns:mc="http://schemas.openxmlformats.org/markup-compatibility/2006">
          <mc:Choice Requires="x14">
            <control shapeId="8715" r:id="rId269" name="Check Box 523">
              <controlPr defaultSize="0" autoFill="0" autoLine="0" autoPict="0">
                <anchor moveWithCells="1">
                  <from>
                    <xdr:col>14</xdr:col>
                    <xdr:colOff>38100</xdr:colOff>
                    <xdr:row>47</xdr:row>
                    <xdr:rowOff>48986</xdr:rowOff>
                  </from>
                  <to>
                    <xdr:col>19</xdr:col>
                    <xdr:colOff>38100</xdr:colOff>
                    <xdr:row>49</xdr:row>
                    <xdr:rowOff>10886</xdr:rowOff>
                  </to>
                </anchor>
              </controlPr>
            </control>
          </mc:Choice>
        </mc:AlternateContent>
        <mc:AlternateContent xmlns:mc="http://schemas.openxmlformats.org/markup-compatibility/2006">
          <mc:Choice Requires="x14">
            <control shapeId="8716" r:id="rId270" name="Check Box 524">
              <controlPr defaultSize="0" autoFill="0" autoLine="0" autoPict="0">
                <anchor moveWithCells="1">
                  <from>
                    <xdr:col>20</xdr:col>
                    <xdr:colOff>27214</xdr:colOff>
                    <xdr:row>47</xdr:row>
                    <xdr:rowOff>65314</xdr:rowOff>
                  </from>
                  <to>
                    <xdr:col>25</xdr:col>
                    <xdr:colOff>141514</xdr:colOff>
                    <xdr:row>49</xdr:row>
                    <xdr:rowOff>10886</xdr:rowOff>
                  </to>
                </anchor>
              </controlPr>
            </control>
          </mc:Choice>
        </mc:AlternateContent>
        <mc:AlternateContent xmlns:mc="http://schemas.openxmlformats.org/markup-compatibility/2006">
          <mc:Choice Requires="x14">
            <control shapeId="8717" r:id="rId271" name="Check Box 525">
              <controlPr defaultSize="0" autoFill="0" autoLine="0" autoPict="0">
                <anchor moveWithCells="1">
                  <from>
                    <xdr:col>35</xdr:col>
                    <xdr:colOff>87086</xdr:colOff>
                    <xdr:row>47</xdr:row>
                    <xdr:rowOff>48986</xdr:rowOff>
                  </from>
                  <to>
                    <xdr:col>43</xdr:col>
                    <xdr:colOff>76200</xdr:colOff>
                    <xdr:row>49</xdr:row>
                    <xdr:rowOff>10886</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R13"/>
  <sheetViews>
    <sheetView showZeros="0" workbookViewId="0"/>
  </sheetViews>
  <sheetFormatPr defaultColWidth="2.4609375" defaultRowHeight="12.45" x14ac:dyDescent="0.3"/>
  <sheetData>
    <row r="1" spans="1:44" x14ac:dyDescent="0.3">
      <c r="A1" s="4"/>
      <c r="B1" s="917" t="s">
        <v>1956</v>
      </c>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row>
    <row r="2" spans="1:44" x14ac:dyDescent="0.3">
      <c r="A2" s="4"/>
      <c r="B2" s="917"/>
      <c r="C2" s="917"/>
      <c r="D2" s="917"/>
      <c r="E2" s="917"/>
      <c r="F2" s="917"/>
      <c r="G2" s="917"/>
      <c r="H2" s="917"/>
      <c r="I2" s="917"/>
      <c r="J2" s="917"/>
      <c r="K2" s="917"/>
      <c r="L2" s="917"/>
      <c r="M2" s="917"/>
      <c r="N2" s="917"/>
      <c r="O2" s="917"/>
      <c r="P2" s="917"/>
      <c r="Q2" s="917"/>
      <c r="R2" s="917"/>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row>
    <row r="3" spans="1:44" x14ac:dyDescent="0.3">
      <c r="A3" s="629"/>
      <c r="B3" s="589"/>
      <c r="C3" s="1"/>
      <c r="D3" s="1"/>
      <c r="E3" s="1"/>
      <c r="F3" s="1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885" t="str">
        <f>START!AO1</f>
        <v>version 7.1.01</v>
      </c>
      <c r="AP3" s="886"/>
      <c r="AQ3" s="886"/>
      <c r="AR3" s="886"/>
    </row>
    <row r="4" spans="1:44" x14ac:dyDescent="0.3">
      <c r="A4" s="4"/>
      <c r="B4" s="23"/>
      <c r="C4" s="12"/>
      <c r="D4" s="594"/>
      <c r="E4" s="23"/>
      <c r="F4" s="595" t="str">
        <f>START!F13</f>
        <v xml:space="preserve">ASSOCIATION     </v>
      </c>
      <c r="G4" s="695" t="str">
        <f>START!G13</f>
        <v/>
      </c>
      <c r="H4" s="696"/>
      <c r="I4" s="696"/>
      <c r="J4" s="696"/>
      <c r="K4" s="696"/>
      <c r="L4" s="696"/>
      <c r="M4" s="696"/>
      <c r="N4" s="696"/>
      <c r="O4" s="696"/>
      <c r="P4" s="696"/>
      <c r="Q4" s="696"/>
      <c r="R4" s="696"/>
      <c r="S4" s="696"/>
      <c r="T4" s="696"/>
      <c r="U4" s="696"/>
      <c r="V4" s="696"/>
      <c r="W4" s="696"/>
      <c r="X4" s="696"/>
      <c r="Y4" s="696"/>
      <c r="Z4" s="696"/>
      <c r="AA4" s="697"/>
      <c r="AB4" s="599" t="s">
        <v>189</v>
      </c>
      <c r="AC4" s="695">
        <f>START!R7</f>
        <v>0</v>
      </c>
      <c r="AD4" s="696"/>
      <c r="AE4" s="697"/>
      <c r="AF4" s="23"/>
      <c r="AG4" s="671" t="str">
        <f>START!AG13</f>
        <v>TITLE</v>
      </c>
      <c r="AH4" s="671"/>
      <c r="AI4" s="671"/>
      <c r="AJ4" s="672" t="str">
        <f>START!AJ13</f>
        <v/>
      </c>
      <c r="AK4" s="669"/>
      <c r="AL4" s="669"/>
      <c r="AM4" s="669"/>
      <c r="AN4" s="669"/>
      <c r="AO4" s="669"/>
      <c r="AP4" s="669"/>
      <c r="AQ4" s="669"/>
      <c r="AR4" s="670"/>
    </row>
    <row r="5" spans="1:44" ht="4.5" customHeight="1" x14ac:dyDescent="0.3">
      <c r="A5" s="4"/>
      <c r="B5" s="23"/>
      <c r="C5" s="12"/>
      <c r="D5" s="594"/>
      <c r="E5" s="23"/>
      <c r="F5" s="16"/>
      <c r="G5" s="600"/>
      <c r="H5" s="600"/>
      <c r="I5" s="600"/>
      <c r="J5" s="600"/>
      <c r="K5" s="600"/>
      <c r="L5" s="600"/>
      <c r="M5" s="600"/>
      <c r="N5" s="600"/>
      <c r="O5" s="600"/>
      <c r="P5" s="600"/>
      <c r="Q5" s="600"/>
      <c r="R5" s="600"/>
      <c r="S5" s="600"/>
      <c r="T5" s="600"/>
      <c r="U5" s="600"/>
      <c r="V5" s="600"/>
      <c r="W5" s="600"/>
      <c r="X5" s="600"/>
      <c r="Y5" s="600"/>
      <c r="Z5" s="600"/>
      <c r="AA5" s="600"/>
      <c r="AB5" s="601"/>
      <c r="AC5" s="600"/>
      <c r="AD5" s="600"/>
      <c r="AE5" s="600"/>
      <c r="AF5" s="16"/>
      <c r="AG5" s="602"/>
      <c r="AH5" s="602"/>
      <c r="AI5" s="602"/>
      <c r="AJ5" s="598"/>
      <c r="AK5" s="598"/>
      <c r="AL5" s="598"/>
      <c r="AM5" s="598"/>
      <c r="AN5" s="598"/>
      <c r="AO5" s="598"/>
      <c r="AP5" s="598"/>
      <c r="AQ5" s="598"/>
      <c r="AR5" s="598"/>
    </row>
    <row r="6" spans="1:44" x14ac:dyDescent="0.3">
      <c r="A6" s="4"/>
      <c r="B6" s="23"/>
      <c r="C6" s="12"/>
      <c r="D6" s="594"/>
      <c r="E6" s="593" t="str">
        <f>START!E15</f>
        <v xml:space="preserve">ADDRESS     </v>
      </c>
      <c r="F6" s="16"/>
      <c r="G6" s="695" t="str">
        <f>START!G15</f>
        <v/>
      </c>
      <c r="H6" s="696"/>
      <c r="I6" s="696"/>
      <c r="J6" s="696"/>
      <c r="K6" s="696"/>
      <c r="L6" s="696"/>
      <c r="M6" s="696"/>
      <c r="N6" s="696"/>
      <c r="O6" s="696"/>
      <c r="P6" s="696"/>
      <c r="Q6" s="696"/>
      <c r="R6" s="696"/>
      <c r="S6" s="696"/>
      <c r="T6" s="696"/>
      <c r="U6" s="696"/>
      <c r="V6" s="696"/>
      <c r="W6" s="696"/>
      <c r="X6" s="696"/>
      <c r="Y6" s="696"/>
      <c r="Z6" s="696"/>
      <c r="AA6" s="696"/>
      <c r="AB6" s="696"/>
      <c r="AC6" s="696"/>
      <c r="AD6" s="696"/>
      <c r="AE6" s="697"/>
      <c r="AF6" s="23"/>
      <c r="AG6" s="671" t="str">
        <f>START!AG15</f>
        <v>TITLE</v>
      </c>
      <c r="AH6" s="671"/>
      <c r="AI6" s="671"/>
      <c r="AJ6" s="672">
        <f>START!AJ15</f>
        <v>0</v>
      </c>
      <c r="AK6" s="669"/>
      <c r="AL6" s="669"/>
      <c r="AM6" s="669"/>
      <c r="AN6" s="669"/>
      <c r="AO6" s="669"/>
      <c r="AP6" s="669"/>
      <c r="AQ6" s="669"/>
      <c r="AR6" s="670"/>
    </row>
    <row r="7" spans="1:44" ht="4.5" customHeight="1" x14ac:dyDescent="0.3">
      <c r="A7" s="4"/>
      <c r="B7" s="23"/>
      <c r="C7" s="23"/>
      <c r="D7" s="23"/>
      <c r="E7" s="593"/>
      <c r="F7" s="16"/>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23"/>
      <c r="AG7" s="23"/>
      <c r="AH7" s="23"/>
      <c r="AI7" s="23"/>
      <c r="AJ7" s="664"/>
      <c r="AK7" s="664"/>
      <c r="AL7" s="664"/>
      <c r="AM7" s="664"/>
      <c r="AN7" s="664"/>
      <c r="AO7" s="664"/>
      <c r="AP7" s="664"/>
      <c r="AQ7" s="664"/>
      <c r="AR7" s="664"/>
    </row>
    <row r="8" spans="1:44" x14ac:dyDescent="0.3">
      <c r="A8" s="4"/>
      <c r="B8" s="23"/>
      <c r="C8" s="12"/>
      <c r="D8" s="594"/>
      <c r="E8" s="593" t="str">
        <f>START!E17</f>
        <v xml:space="preserve">CITY-ST-ZIP </v>
      </c>
      <c r="F8" s="16"/>
      <c r="G8" s="695" t="str">
        <f>START!G17</f>
        <v/>
      </c>
      <c r="H8" s="696"/>
      <c r="I8" s="696"/>
      <c r="J8" s="696"/>
      <c r="K8" s="696"/>
      <c r="L8" s="696"/>
      <c r="M8" s="696"/>
      <c r="N8" s="696"/>
      <c r="O8" s="696"/>
      <c r="P8" s="696"/>
      <c r="Q8" s="696"/>
      <c r="R8" s="696"/>
      <c r="S8" s="696"/>
      <c r="T8" s="696"/>
      <c r="U8" s="696"/>
      <c r="V8" s="696"/>
      <c r="W8" s="697"/>
      <c r="X8" s="14" t="s">
        <v>257</v>
      </c>
      <c r="Y8" s="603"/>
      <c r="Z8" s="695" t="str">
        <f>START!Z17</f>
        <v/>
      </c>
      <c r="AA8" s="696"/>
      <c r="AB8" s="696"/>
      <c r="AC8" s="696"/>
      <c r="AD8" s="696"/>
      <c r="AE8" s="697"/>
      <c r="AF8" s="23"/>
      <c r="AG8" s="671" t="str">
        <f>START!AG17</f>
        <v>TITLE</v>
      </c>
      <c r="AH8" s="671"/>
      <c r="AI8" s="671"/>
      <c r="AJ8" s="672">
        <f>START!AJ17</f>
        <v>0</v>
      </c>
      <c r="AK8" s="669"/>
      <c r="AL8" s="669"/>
      <c r="AM8" s="669"/>
      <c r="AN8" s="669"/>
      <c r="AO8" s="669"/>
      <c r="AP8" s="669"/>
      <c r="AQ8" s="669"/>
      <c r="AR8" s="670"/>
    </row>
    <row r="9" spans="1:44" ht="4.5" customHeight="1" x14ac:dyDescent="0.3">
      <c r="A9" s="4"/>
      <c r="B9" s="23"/>
      <c r="C9" s="23"/>
      <c r="D9" s="23"/>
      <c r="E9" s="593"/>
      <c r="F9" s="16"/>
      <c r="G9" s="662"/>
      <c r="H9" s="662"/>
      <c r="I9" s="662"/>
      <c r="J9" s="662"/>
      <c r="K9" s="663"/>
      <c r="L9" s="663"/>
      <c r="M9" s="663"/>
      <c r="N9" s="663"/>
      <c r="O9" s="663"/>
      <c r="P9" s="663"/>
      <c r="Q9" s="663"/>
      <c r="R9" s="663"/>
      <c r="S9" s="663"/>
      <c r="T9" s="663"/>
      <c r="U9" s="663"/>
      <c r="V9" s="663"/>
      <c r="W9" s="663"/>
      <c r="X9" s="663"/>
      <c r="Y9" s="663"/>
      <c r="Z9" s="663"/>
      <c r="AA9" s="663"/>
      <c r="AB9" s="663"/>
      <c r="AC9" s="663"/>
      <c r="AD9" s="663"/>
      <c r="AE9" s="663"/>
      <c r="AF9" s="16"/>
      <c r="AG9" s="16"/>
      <c r="AH9" s="16"/>
      <c r="AI9" s="16"/>
      <c r="AJ9" s="664"/>
      <c r="AK9" s="664"/>
      <c r="AL9" s="664"/>
      <c r="AM9" s="664"/>
      <c r="AN9" s="664"/>
      <c r="AO9" s="664"/>
      <c r="AP9" s="664"/>
      <c r="AQ9" s="664"/>
      <c r="AR9" s="664"/>
    </row>
    <row r="10" spans="1:44" x14ac:dyDescent="0.3">
      <c r="A10" s="4"/>
      <c r="B10" s="23"/>
      <c r="C10" s="12"/>
      <c r="D10" s="23"/>
      <c r="E10" s="593" t="str">
        <f>START!E19</f>
        <v xml:space="preserve">EXP. DATE    </v>
      </c>
      <c r="F10" s="16"/>
      <c r="G10" s="698" t="str">
        <f>START!G19</f>
        <v/>
      </c>
      <c r="H10" s="699"/>
      <c r="I10" s="699"/>
      <c r="J10" s="700"/>
      <c r="K10" s="23"/>
      <c r="L10" s="12" t="s">
        <v>563</v>
      </c>
      <c r="M10" s="16"/>
      <c r="N10" s="16"/>
      <c r="O10" s="668">
        <f>START!O19</f>
        <v>0</v>
      </c>
      <c r="P10" s="669"/>
      <c r="Q10" s="669"/>
      <c r="R10" s="669"/>
      <c r="S10" s="669"/>
      <c r="T10" s="669"/>
      <c r="U10" s="669"/>
      <c r="V10" s="669"/>
      <c r="W10" s="669"/>
      <c r="X10" s="669"/>
      <c r="Y10" s="669"/>
      <c r="Z10" s="669"/>
      <c r="AA10" s="669"/>
      <c r="AB10" s="669"/>
      <c r="AC10" s="669"/>
      <c r="AD10" s="669"/>
      <c r="AE10" s="670"/>
      <c r="AF10" s="23"/>
      <c r="AG10" s="671" t="str">
        <f>START!AG19</f>
        <v>TITLE</v>
      </c>
      <c r="AH10" s="671"/>
      <c r="AI10" s="671"/>
      <c r="AJ10" s="672">
        <f>START!AJ19</f>
        <v>0</v>
      </c>
      <c r="AK10" s="669"/>
      <c r="AL10" s="669"/>
      <c r="AM10" s="669"/>
      <c r="AN10" s="669"/>
      <c r="AO10" s="669"/>
      <c r="AP10" s="669"/>
      <c r="AQ10" s="669"/>
      <c r="AR10" s="670"/>
    </row>
    <row r="11" spans="1:44" ht="4.5" customHeight="1" x14ac:dyDescent="0.3">
      <c r="A11" s="5"/>
      <c r="B11" s="16"/>
      <c r="C11" s="14"/>
      <c r="D11" s="16"/>
      <c r="E11" s="595"/>
      <c r="F11" s="16"/>
      <c r="G11" s="604"/>
      <c r="H11" s="604"/>
      <c r="I11" s="604"/>
      <c r="J11" s="604"/>
      <c r="K11" s="605"/>
      <c r="L11" s="605"/>
      <c r="M11" s="605"/>
      <c r="N11" s="605"/>
      <c r="O11" s="605"/>
      <c r="P11" s="605"/>
      <c r="Q11" s="605"/>
      <c r="R11" s="605"/>
      <c r="S11" s="605"/>
      <c r="T11" s="605"/>
      <c r="U11" s="16"/>
      <c r="V11" s="14"/>
      <c r="W11" s="14"/>
      <c r="X11" s="16"/>
      <c r="Y11" s="16"/>
      <c r="Z11" s="606"/>
      <c r="AA11" s="606"/>
      <c r="AB11" s="606"/>
      <c r="AC11" s="606"/>
      <c r="AD11" s="606"/>
      <c r="AE11" s="606"/>
      <c r="AF11" s="16"/>
      <c r="AG11" s="602"/>
      <c r="AH11" s="602"/>
      <c r="AI11" s="602"/>
      <c r="AJ11" s="614"/>
      <c r="AK11" s="614"/>
      <c r="AL11" s="614"/>
      <c r="AM11" s="614"/>
      <c r="AN11" s="614"/>
      <c r="AO11" s="614"/>
      <c r="AP11" s="614"/>
      <c r="AQ11" s="614"/>
      <c r="AR11" s="614"/>
    </row>
    <row r="12" spans="1:44" x14ac:dyDescent="0.3">
      <c r="A12" s="4"/>
      <c r="B12" s="23"/>
      <c r="C12" s="12"/>
      <c r="D12" s="23"/>
      <c r="E12" s="593">
        <f>START!A21</f>
        <v>0</v>
      </c>
      <c r="F12" s="16"/>
      <c r="G12" s="912">
        <f>START!G21</f>
        <v>0</v>
      </c>
      <c r="H12" s="913"/>
      <c r="I12" s="913"/>
      <c r="J12" s="914"/>
      <c r="K12" s="382"/>
      <c r="L12" s="382"/>
      <c r="M12" s="17" t="s">
        <v>566</v>
      </c>
      <c r="N12" s="668">
        <f>START!N21</f>
        <v>0</v>
      </c>
      <c r="O12" s="915"/>
      <c r="P12" s="915"/>
      <c r="Q12" s="915"/>
      <c r="R12" s="915"/>
      <c r="S12" s="916"/>
      <c r="T12" s="607"/>
      <c r="U12" s="16"/>
      <c r="V12" s="16"/>
      <c r="W12" s="23"/>
      <c r="X12" s="18" t="s">
        <v>1905</v>
      </c>
      <c r="Y12" s="672">
        <f>START!Y21</f>
        <v>0</v>
      </c>
      <c r="Z12" s="669"/>
      <c r="AA12" s="669"/>
      <c r="AB12" s="669"/>
      <c r="AC12" s="669"/>
      <c r="AD12" s="669"/>
      <c r="AE12" s="669"/>
      <c r="AF12" s="669"/>
      <c r="AG12" s="669"/>
      <c r="AH12" s="669"/>
      <c r="AI12" s="669"/>
      <c r="AJ12" s="669"/>
      <c r="AK12" s="669"/>
      <c r="AL12" s="669"/>
      <c r="AM12" s="669"/>
      <c r="AN12" s="669"/>
      <c r="AO12" s="669"/>
      <c r="AP12" s="669"/>
      <c r="AQ12" s="669"/>
      <c r="AR12" s="670"/>
    </row>
    <row r="13" spans="1:44" x14ac:dyDescent="0.3">
      <c r="A13" s="4"/>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sheetData>
  <mergeCells count="24">
    <mergeCell ref="G8:W8"/>
    <mergeCell ref="Z8:AE8"/>
    <mergeCell ref="AG8:AI8"/>
    <mergeCell ref="AJ8:AR8"/>
    <mergeCell ref="B1:AR2"/>
    <mergeCell ref="G4:AA4"/>
    <mergeCell ref="AC4:AE4"/>
    <mergeCell ref="AG4:AI4"/>
    <mergeCell ref="AJ4:AR4"/>
    <mergeCell ref="G6:AE6"/>
    <mergeCell ref="AG6:AI6"/>
    <mergeCell ref="AJ6:AR6"/>
    <mergeCell ref="G7:AE7"/>
    <mergeCell ref="AJ7:AR7"/>
    <mergeCell ref="AO3:AR3"/>
    <mergeCell ref="G12:J12"/>
    <mergeCell ref="N12:S12"/>
    <mergeCell ref="Y12:AR12"/>
    <mergeCell ref="G9:AE9"/>
    <mergeCell ref="AJ9:AR9"/>
    <mergeCell ref="G10:J10"/>
    <mergeCell ref="O10:AE10"/>
    <mergeCell ref="AG10:AI10"/>
    <mergeCell ref="AJ10:AR10"/>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14"/>
  <sheetViews>
    <sheetView showZeros="0" topLeftCell="C1" workbookViewId="0">
      <selection activeCell="C1" sqref="C1"/>
    </sheetView>
  </sheetViews>
  <sheetFormatPr defaultColWidth="9.15234375" defaultRowHeight="12.45" x14ac:dyDescent="0.3"/>
  <cols>
    <col min="1" max="1" width="23.84375" style="99" hidden="1" customWidth="1"/>
    <col min="2" max="2" width="12.4609375" style="99" hidden="1" customWidth="1"/>
    <col min="3" max="3" width="7.69140625" style="91" customWidth="1"/>
    <col min="4" max="4" width="82.3046875" customWidth="1"/>
  </cols>
  <sheetData>
    <row r="1" spans="1:9" ht="15.45" x14ac:dyDescent="0.3">
      <c r="C1" s="71"/>
      <c r="D1" s="71" t="str">
        <f>START!G13</f>
        <v/>
      </c>
    </row>
    <row r="3" spans="1:9" x14ac:dyDescent="0.3">
      <c r="C3" s="72"/>
      <c r="D3" s="72"/>
    </row>
    <row r="4" spans="1:9" x14ac:dyDescent="0.3">
      <c r="A4" s="100"/>
      <c r="B4" s="100"/>
      <c r="C4" s="90"/>
      <c r="D4" s="372"/>
    </row>
    <row r="5" spans="1:9" ht="14.15" x14ac:dyDescent="0.3">
      <c r="A5" s="73" t="str">
        <f>ARA!J712</f>
        <v/>
      </c>
      <c r="C5" s="52" t="s">
        <v>390</v>
      </c>
      <c r="D5" s="97" t="s">
        <v>932</v>
      </c>
      <c r="I5" s="94"/>
    </row>
    <row r="6" spans="1:9" ht="12.75" customHeight="1" x14ac:dyDescent="0.3">
      <c r="A6" s="106">
        <v>271</v>
      </c>
      <c r="B6" s="73" t="str">
        <f>ARA!J248</f>
        <v/>
      </c>
      <c r="C6" s="253">
        <f>IF(B6&gt;"",calculations!AO13,0)</f>
        <v>0</v>
      </c>
      <c r="D6" s="254" t="s">
        <v>851</v>
      </c>
      <c r="I6" s="94"/>
    </row>
    <row r="7" spans="1:9" ht="12.75" customHeight="1" x14ac:dyDescent="0.3">
      <c r="A7" s="99">
        <v>672</v>
      </c>
      <c r="B7" s="73" t="str">
        <f>ARA!J638</f>
        <v/>
      </c>
      <c r="C7" s="253">
        <f>IF(B7&gt;"",calculations!AO35,0)</f>
        <v>0</v>
      </c>
      <c r="D7" s="254" t="s">
        <v>851</v>
      </c>
      <c r="I7" s="94"/>
    </row>
    <row r="8" spans="1:9" ht="12.75" customHeight="1" x14ac:dyDescent="0.3">
      <c r="A8" s="99">
        <v>739</v>
      </c>
      <c r="B8" s="73" t="str">
        <f>ARA!J696</f>
        <v/>
      </c>
      <c r="C8" s="253">
        <f>IF(B8&gt;"",calculations!AO42,0)</f>
        <v>0</v>
      </c>
      <c r="D8" s="254" t="s">
        <v>851</v>
      </c>
      <c r="I8" s="94"/>
    </row>
    <row r="9" spans="1:9" ht="12.75" customHeight="1" x14ac:dyDescent="0.3">
      <c r="A9" s="99">
        <v>560</v>
      </c>
      <c r="B9" s="73" t="str">
        <f>ARA!J533</f>
        <v/>
      </c>
      <c r="C9" s="253">
        <f>IF(B9&gt;"",calculations!AO29,0)</f>
        <v>0</v>
      </c>
      <c r="D9" s="254" t="s">
        <v>851</v>
      </c>
      <c r="I9" s="94"/>
    </row>
    <row r="10" spans="1:9" ht="12.75" customHeight="1" x14ac:dyDescent="0.3">
      <c r="A10" s="99">
        <v>297</v>
      </c>
      <c r="B10" s="73" t="str">
        <f>ARA!J271</f>
        <v/>
      </c>
      <c r="C10" s="253">
        <f>IF(B10&gt;"",calculations!AO15,0)</f>
        <v>0</v>
      </c>
      <c r="D10" s="254" t="s">
        <v>851</v>
      </c>
      <c r="I10" s="94"/>
    </row>
    <row r="11" spans="1:9" ht="12.75" customHeight="1" x14ac:dyDescent="0.3">
      <c r="A11" s="99">
        <v>649</v>
      </c>
      <c r="B11" s="73" t="str">
        <f>ARA!J619</f>
        <v/>
      </c>
      <c r="C11" s="253">
        <f>IF(B11&gt;"",calculations!AO34,0)</f>
        <v>0</v>
      </c>
      <c r="D11" s="254" t="s">
        <v>851</v>
      </c>
      <c r="I11" s="94"/>
    </row>
    <row r="12" spans="1:9" ht="12.75" customHeight="1" x14ac:dyDescent="0.3">
      <c r="A12" s="99">
        <v>755</v>
      </c>
      <c r="B12" s="73" t="str">
        <f>ARA!J712</f>
        <v/>
      </c>
      <c r="C12" s="253">
        <f>IF(B12&gt;"",calculations!AO43,0)</f>
        <v>0</v>
      </c>
      <c r="D12" s="254" t="s">
        <v>851</v>
      </c>
      <c r="I12" s="94"/>
    </row>
    <row r="13" spans="1:9" ht="12.75" customHeight="1" x14ac:dyDescent="0.3">
      <c r="A13" s="99">
        <v>612</v>
      </c>
      <c r="B13" s="73" t="str">
        <f>ARA!J585</f>
        <v/>
      </c>
      <c r="C13" s="253">
        <f>IF(B13&gt;"",calculations!AO32,0)</f>
        <v>0</v>
      </c>
      <c r="D13" s="254" t="s">
        <v>851</v>
      </c>
      <c r="I13" s="94"/>
    </row>
    <row r="14" spans="1:9" ht="12.75" customHeight="1" x14ac:dyDescent="0.3">
      <c r="A14" s="99">
        <v>707</v>
      </c>
      <c r="B14" s="73" t="str">
        <f>ARA!J662</f>
        <v/>
      </c>
      <c r="C14" s="253">
        <f>IF(B14&gt;"",calculations!AO40,0)</f>
        <v>0</v>
      </c>
      <c r="D14" s="254" t="s">
        <v>851</v>
      </c>
      <c r="I14" s="94"/>
    </row>
    <row r="15" spans="1:9" ht="12.75" customHeight="1" x14ac:dyDescent="0.3">
      <c r="A15" s="99">
        <v>723</v>
      </c>
      <c r="B15" s="73" t="str">
        <f>ARA!J680</f>
        <v/>
      </c>
      <c r="C15" s="253">
        <f>IF(B15&gt;"",calculations!AO41,0)</f>
        <v>0</v>
      </c>
      <c r="D15" s="254" t="s">
        <v>851</v>
      </c>
      <c r="I15" s="94"/>
    </row>
    <row r="16" spans="1:9" ht="12.75" customHeight="1" x14ac:dyDescent="0.3">
      <c r="A16" s="99">
        <v>369</v>
      </c>
      <c r="B16" s="73" t="str">
        <f>ARA!J343</f>
        <v/>
      </c>
      <c r="C16" s="253">
        <f>IF(B16&gt;"",calculations!AO19,0)</f>
        <v>0</v>
      </c>
      <c r="D16" s="254" t="s">
        <v>851</v>
      </c>
      <c r="I16" s="94"/>
    </row>
    <row r="17" spans="1:9" ht="12.75" customHeight="1" x14ac:dyDescent="0.3">
      <c r="A17" s="99">
        <v>212</v>
      </c>
      <c r="B17" s="73" t="str">
        <f>ARA!J189</f>
        <v/>
      </c>
      <c r="C17" s="253">
        <f>IF(B17&gt;"",calculations!AO10,0)</f>
        <v>0</v>
      </c>
      <c r="D17" s="254" t="s">
        <v>851</v>
      </c>
      <c r="I17" s="94"/>
    </row>
    <row r="18" spans="1:9" ht="12.75" customHeight="1" x14ac:dyDescent="0.3">
      <c r="A18" s="99">
        <v>594</v>
      </c>
      <c r="B18" s="73" t="str">
        <f>ARA!J567</f>
        <v/>
      </c>
      <c r="C18" s="253">
        <f>IF(B18&gt;"",calculations!AO31,0)</f>
        <v>0</v>
      </c>
      <c r="D18" s="254" t="s">
        <v>851</v>
      </c>
      <c r="I18" s="94"/>
    </row>
    <row r="19" spans="1:9" ht="12.75" customHeight="1" x14ac:dyDescent="0.3">
      <c r="A19" s="99">
        <v>142</v>
      </c>
      <c r="B19" s="73" t="str">
        <f>ARA!J119</f>
        <v/>
      </c>
      <c r="C19" s="253">
        <f>IF(B19&gt;"",calculations!AO6,0)</f>
        <v>0</v>
      </c>
      <c r="D19" s="254" t="s">
        <v>851</v>
      </c>
      <c r="I19" s="94"/>
    </row>
    <row r="20" spans="1:9" ht="12.75" customHeight="1" x14ac:dyDescent="0.3">
      <c r="A20" s="99">
        <v>160</v>
      </c>
      <c r="B20" s="73" t="str">
        <f>ARA!J137</f>
        <v/>
      </c>
      <c r="C20" s="253">
        <f>IF(B20&gt;"",calculations!AO7,0)</f>
        <v>0</v>
      </c>
      <c r="D20" s="254" t="s">
        <v>851</v>
      </c>
      <c r="I20" s="94"/>
    </row>
    <row r="21" spans="1:9" ht="12.75" customHeight="1" x14ac:dyDescent="0.3">
      <c r="A21" s="99">
        <v>124</v>
      </c>
      <c r="B21" s="73" t="str">
        <f>ARA!J101</f>
        <v/>
      </c>
      <c r="C21" s="253">
        <f>IF(B21&gt;"",calculations!AO5,0)</f>
        <v>0</v>
      </c>
      <c r="D21" s="254" t="s">
        <v>851</v>
      </c>
      <c r="I21" s="94"/>
    </row>
    <row r="22" spans="1:9" ht="12.75" customHeight="1" x14ac:dyDescent="0.3">
      <c r="A22" s="99">
        <v>108</v>
      </c>
      <c r="B22" s="73" t="str">
        <f>ARA!J85</f>
        <v/>
      </c>
      <c r="C22" s="253">
        <f>IF(B22&gt;"",calculations!AO4,0)</f>
        <v>0</v>
      </c>
      <c r="D22" s="254" t="s">
        <v>851</v>
      </c>
      <c r="I22" s="94"/>
    </row>
    <row r="23" spans="1:9" ht="12.75" customHeight="1" x14ac:dyDescent="0.3">
      <c r="A23" s="99">
        <v>351</v>
      </c>
      <c r="B23" s="73" t="str">
        <f>ARA!J325</f>
        <v/>
      </c>
      <c r="C23" s="253">
        <f>IF(B23&gt;"",calculations!AO18,0)</f>
        <v>0</v>
      </c>
      <c r="D23" s="254" t="s">
        <v>851</v>
      </c>
      <c r="I23" s="94"/>
    </row>
    <row r="24" spans="1:9" ht="12.75" customHeight="1" x14ac:dyDescent="0.3">
      <c r="A24" s="99">
        <v>445</v>
      </c>
      <c r="B24" s="73" t="str">
        <f>ARA!J419</f>
        <v/>
      </c>
      <c r="C24" s="253">
        <f>IF(B24&gt;"",calculations!AO23,0)</f>
        <v>0</v>
      </c>
      <c r="D24" s="254" t="s">
        <v>851</v>
      </c>
      <c r="I24" s="94"/>
    </row>
    <row r="25" spans="1:9" ht="12.75" customHeight="1" x14ac:dyDescent="0.3">
      <c r="A25" s="99">
        <v>176</v>
      </c>
      <c r="B25" s="73" t="str">
        <f>ARA!J153</f>
        <v/>
      </c>
      <c r="C25" s="253">
        <f>IF(B25&gt;"",calculations!AO8,0)</f>
        <v>0</v>
      </c>
      <c r="D25" s="254" t="s">
        <v>851</v>
      </c>
      <c r="I25" s="94"/>
    </row>
    <row r="26" spans="1:9" ht="12.75" customHeight="1" x14ac:dyDescent="0.3">
      <c r="A26" s="99">
        <v>540</v>
      </c>
      <c r="B26" s="73" t="str">
        <f>ARA!J513</f>
        <v/>
      </c>
      <c r="C26" s="253">
        <f>IF(B26&gt;"",calculations!AO28,0)</f>
        <v>0</v>
      </c>
      <c r="D26" s="254" t="s">
        <v>851</v>
      </c>
    </row>
    <row r="27" spans="1:9" ht="12.75" customHeight="1" x14ac:dyDescent="0.3">
      <c r="A27" s="99">
        <v>427</v>
      </c>
      <c r="B27" s="73" t="str">
        <f>ARA!J401</f>
        <v/>
      </c>
      <c r="C27" s="253">
        <f>IF(B27&gt;"",calculations!AO22,0)</f>
        <v>0</v>
      </c>
      <c r="D27" s="254" t="s">
        <v>851</v>
      </c>
    </row>
    <row r="28" spans="1:9" ht="12.75" customHeight="1" x14ac:dyDescent="0.3">
      <c r="A28" s="99">
        <v>248</v>
      </c>
      <c r="B28" s="73" t="str">
        <f>ARA!J225</f>
        <v/>
      </c>
      <c r="C28" s="253">
        <f>IF(B28&gt;"",calculations!AO12,0)</f>
        <v>0</v>
      </c>
      <c r="D28" s="254" t="s">
        <v>851</v>
      </c>
    </row>
    <row r="29" spans="1:9" ht="12.75" customHeight="1" x14ac:dyDescent="0.3">
      <c r="A29" s="99">
        <v>315</v>
      </c>
      <c r="B29" s="73" t="str">
        <f>ARA!J289</f>
        <v/>
      </c>
      <c r="C29" s="253">
        <f>IF(B29&gt;"",calculations!AO16,0)</f>
        <v>0</v>
      </c>
      <c r="D29" s="254" t="s">
        <v>851</v>
      </c>
    </row>
    <row r="30" spans="1:9" ht="12.75" customHeight="1" x14ac:dyDescent="0.3">
      <c r="A30" s="99">
        <v>333</v>
      </c>
      <c r="B30" s="73" t="str">
        <f>ARA!J307</f>
        <v/>
      </c>
      <c r="C30" s="253">
        <f>IF(B30&gt;"",calculations!AO17,0)</f>
        <v>0</v>
      </c>
      <c r="D30" s="254" t="s">
        <v>851</v>
      </c>
    </row>
    <row r="31" spans="1:9" ht="12.75" customHeight="1" x14ac:dyDescent="0.3">
      <c r="A31" s="99">
        <v>387</v>
      </c>
      <c r="B31" s="73" t="str">
        <f>ARA!J361</f>
        <v/>
      </c>
      <c r="C31" s="253">
        <f>IF(B31&gt;"",calculations!AO20,0)</f>
        <v>0</v>
      </c>
      <c r="D31" s="254" t="s">
        <v>851</v>
      </c>
    </row>
    <row r="32" spans="1:9" ht="12.75" customHeight="1" x14ac:dyDescent="0.3">
      <c r="A32" s="99">
        <v>194</v>
      </c>
      <c r="B32" s="73" t="str">
        <f>ARA!J171</f>
        <v/>
      </c>
      <c r="C32" s="253">
        <f>IF(B32&gt;"",calculations!AO9,0)</f>
        <v>0</v>
      </c>
      <c r="D32" s="254" t="s">
        <v>851</v>
      </c>
    </row>
    <row r="33" spans="1:6" ht="12.75" customHeight="1" x14ac:dyDescent="0.3">
      <c r="A33" s="99">
        <v>578</v>
      </c>
      <c r="B33" s="73" t="str">
        <f>ARA!J551</f>
        <v/>
      </c>
      <c r="C33" s="253">
        <f>IF(B33&gt;"",calculations!AO30,0)</f>
        <v>0</v>
      </c>
      <c r="D33" s="254" t="s">
        <v>851</v>
      </c>
    </row>
    <row r="34" spans="1:6" ht="12.75" customHeight="1" x14ac:dyDescent="0.3">
      <c r="A34" s="99">
        <v>499</v>
      </c>
      <c r="B34" s="73" t="str">
        <f>ARA!J473</f>
        <v/>
      </c>
      <c r="C34" s="253">
        <f>IF(B34&gt;"",calculations!AO26,0)</f>
        <v>0</v>
      </c>
      <c r="D34" s="254" t="s">
        <v>851</v>
      </c>
    </row>
    <row r="35" spans="1:6" ht="12.75" customHeight="1" x14ac:dyDescent="0.3">
      <c r="A35" s="99">
        <v>481</v>
      </c>
      <c r="B35" s="73" t="str">
        <f>ARA!J455</f>
        <v/>
      </c>
      <c r="C35" s="253">
        <f>IF(B35&gt;"",calculations!AO25,0)</f>
        <v>0</v>
      </c>
      <c r="D35" s="254" t="s">
        <v>851</v>
      </c>
    </row>
    <row r="36" spans="1:6" ht="12.75" customHeight="1" x14ac:dyDescent="0.3">
      <c r="A36" s="99">
        <v>408</v>
      </c>
      <c r="B36" s="73" t="str">
        <f>ARA!J382</f>
        <v/>
      </c>
      <c r="C36" s="253">
        <f>IF(B36&gt;"",calculations!AO21,0)</f>
        <v>0</v>
      </c>
      <c r="D36" s="254" t="s">
        <v>851</v>
      </c>
    </row>
    <row r="37" spans="1:6" ht="12.75" customHeight="1" x14ac:dyDescent="0.3">
      <c r="A37" s="106">
        <v>230</v>
      </c>
      <c r="B37" s="73" t="str">
        <f>ARA!J207</f>
        <v/>
      </c>
      <c r="C37" s="253">
        <f>IF(B37&gt;"",calculations!AO11,0)</f>
        <v>0</v>
      </c>
      <c r="D37" s="254" t="s">
        <v>851</v>
      </c>
    </row>
    <row r="38" spans="1:6" ht="12.75" customHeight="1" x14ac:dyDescent="0.3">
      <c r="A38" s="106">
        <v>463</v>
      </c>
      <c r="B38" s="73" t="str">
        <f>ARA!J437</f>
        <v/>
      </c>
      <c r="C38" s="253">
        <f>IF(B38&gt;"",calculations!AO24,0)</f>
        <v>0</v>
      </c>
      <c r="D38" s="254" t="s">
        <v>851</v>
      </c>
    </row>
    <row r="39" spans="1:6" x14ac:dyDescent="0.3">
      <c r="A39" s="74"/>
      <c r="B39" s="74"/>
      <c r="C39" s="90"/>
      <c r="D39" s="373"/>
      <c r="F39" s="95"/>
    </row>
    <row r="40" spans="1:6" ht="16.5" customHeight="1" x14ac:dyDescent="0.3">
      <c r="A40" s="92" t="s">
        <v>701</v>
      </c>
      <c r="B40" s="92"/>
      <c r="C40" s="93" t="s">
        <v>390</v>
      </c>
      <c r="D40" s="96" t="s">
        <v>933</v>
      </c>
    </row>
    <row r="41" spans="1:6" x14ac:dyDescent="0.3">
      <c r="A41" s="99">
        <v>69</v>
      </c>
      <c r="B41" s="99" t="str">
        <f>WC!J222</f>
        <v/>
      </c>
      <c r="C41" s="253">
        <f>IF(B41&gt;"",calculations!AO69,0)</f>
        <v>0</v>
      </c>
      <c r="D41" s="254" t="s">
        <v>851</v>
      </c>
    </row>
    <row r="42" spans="1:6" x14ac:dyDescent="0.3">
      <c r="A42" s="99">
        <v>70</v>
      </c>
      <c r="B42" s="99" t="str">
        <f>WC!J249</f>
        <v/>
      </c>
      <c r="C42" s="253">
        <f>IF(B42&gt;"",calculations!AO70,0)</f>
        <v>0</v>
      </c>
      <c r="D42" s="254" t="s">
        <v>851</v>
      </c>
    </row>
    <row r="43" spans="1:6" x14ac:dyDescent="0.3">
      <c r="A43" s="99">
        <v>85</v>
      </c>
      <c r="B43" s="99" t="str">
        <f>WC!J435</f>
        <v/>
      </c>
      <c r="C43" s="253">
        <f>IF(B43&gt;"",calculations!AO85,0)</f>
        <v>0</v>
      </c>
      <c r="D43" s="254" t="s">
        <v>851</v>
      </c>
    </row>
    <row r="44" spans="1:6" x14ac:dyDescent="0.3">
      <c r="A44" s="99">
        <v>74</v>
      </c>
      <c r="B44" s="99" t="str">
        <f>WC!J285</f>
        <v/>
      </c>
      <c r="C44" s="253">
        <f>IF(B44&gt;"",calculations!AO74,0)</f>
        <v>0</v>
      </c>
      <c r="D44" s="254" t="s">
        <v>851</v>
      </c>
    </row>
    <row r="45" spans="1:6" x14ac:dyDescent="0.3">
      <c r="A45" s="99">
        <v>73</v>
      </c>
      <c r="B45" s="99" t="str">
        <f>WC!J269</f>
        <v/>
      </c>
      <c r="C45" s="253">
        <f>IF(B45&gt;"",calculations!AO73,0)</f>
        <v>0</v>
      </c>
      <c r="D45" s="254" t="s">
        <v>851</v>
      </c>
    </row>
    <row r="46" spans="1:6" x14ac:dyDescent="0.3">
      <c r="A46" s="99">
        <v>75</v>
      </c>
      <c r="B46" s="99" t="str">
        <f>WC!J301</f>
        <v/>
      </c>
      <c r="C46" s="253">
        <f>IF(B46&gt;"",calculations!AO75,0)</f>
        <v>0</v>
      </c>
      <c r="D46" s="254" t="s">
        <v>851</v>
      </c>
    </row>
    <row r="47" spans="1:6" x14ac:dyDescent="0.3">
      <c r="A47" s="99">
        <v>77</v>
      </c>
      <c r="B47" s="99" t="str">
        <f>WC!J333</f>
        <v/>
      </c>
      <c r="C47" s="253">
        <f>IF(B47&gt;"",calculations!AO77,0)</f>
        <v>0</v>
      </c>
      <c r="D47" s="254" t="s">
        <v>851</v>
      </c>
    </row>
    <row r="48" spans="1:6" x14ac:dyDescent="0.3">
      <c r="A48" s="99">
        <v>68</v>
      </c>
      <c r="B48" s="99" t="str">
        <f>WC!J185</f>
        <v/>
      </c>
      <c r="C48" s="253">
        <f>IF(B48&gt;"",calculations!AO68,0)</f>
        <v>0</v>
      </c>
      <c r="D48" s="254" t="s">
        <v>851</v>
      </c>
    </row>
    <row r="49" spans="1:8" x14ac:dyDescent="0.3">
      <c r="A49" s="99">
        <v>84</v>
      </c>
      <c r="B49" s="99" t="str">
        <f>WC!J419</f>
        <v/>
      </c>
      <c r="C49" s="253">
        <f>IF(B49&gt;"",calculations!AO84,0)</f>
        <v>0</v>
      </c>
      <c r="D49" s="254" t="s">
        <v>851</v>
      </c>
      <c r="H49" s="98"/>
    </row>
    <row r="50" spans="1:8" x14ac:dyDescent="0.3">
      <c r="A50" s="99">
        <v>82</v>
      </c>
      <c r="B50" s="99" t="str">
        <f>WC!J387</f>
        <v/>
      </c>
      <c r="C50" s="253">
        <f>IF(B50&gt;"",calculations!AO82,0)</f>
        <v>0</v>
      </c>
      <c r="D50" s="254" t="s">
        <v>851</v>
      </c>
    </row>
    <row r="51" spans="1:8" x14ac:dyDescent="0.3">
      <c r="A51" s="107">
        <v>65</v>
      </c>
      <c r="B51" s="94" t="str">
        <f>WC!J110</f>
        <v/>
      </c>
      <c r="C51" s="253">
        <f>IF(B51&gt;"",calculations!AO65,0)</f>
        <v>0</v>
      </c>
      <c r="D51" s="254" t="s">
        <v>851</v>
      </c>
    </row>
    <row r="52" spans="1:8" x14ac:dyDescent="0.3">
      <c r="A52" s="108">
        <v>66</v>
      </c>
      <c r="B52" s="73" t="str">
        <f>WC!J137</f>
        <v/>
      </c>
      <c r="C52" s="253">
        <f>IF(B52&gt;"",calculations!AO66,0)</f>
        <v>0</v>
      </c>
      <c r="D52" s="254" t="s">
        <v>851</v>
      </c>
    </row>
    <row r="53" spans="1:8" x14ac:dyDescent="0.3">
      <c r="A53" s="99">
        <v>67</v>
      </c>
      <c r="B53" s="99" t="str">
        <f>WC!J150</f>
        <v/>
      </c>
      <c r="C53" s="253">
        <f>IF(B53&gt;"",calculations!AO67,0)</f>
        <v>0</v>
      </c>
      <c r="D53" s="254" t="s">
        <v>851</v>
      </c>
    </row>
    <row r="54" spans="1:8" x14ac:dyDescent="0.3">
      <c r="A54" s="99">
        <v>81</v>
      </c>
      <c r="B54" s="99" t="str">
        <f>WC!J371</f>
        <v/>
      </c>
      <c r="C54" s="253">
        <f>IF(B54&gt;"",calculations!AO81,0)</f>
        <v>0</v>
      </c>
      <c r="D54" s="254" t="s">
        <v>851</v>
      </c>
    </row>
    <row r="55" spans="1:8" x14ac:dyDescent="0.3">
      <c r="A55" s="99">
        <v>64</v>
      </c>
      <c r="B55" s="99" t="str">
        <f>WC!J83</f>
        <v/>
      </c>
      <c r="C55" s="253">
        <f>IF(B55&gt;"",calculations!AO64,0)</f>
        <v>0</v>
      </c>
      <c r="D55" s="254" t="s">
        <v>851</v>
      </c>
    </row>
    <row r="56" spans="1:8" x14ac:dyDescent="0.3">
      <c r="A56" s="99">
        <v>88</v>
      </c>
      <c r="B56" s="99" t="str">
        <f>WC!J455</f>
        <v/>
      </c>
      <c r="C56" s="253">
        <f>IF(B56&gt;"",calculations!AO88,0)</f>
        <v>0</v>
      </c>
      <c r="D56" s="254" t="s">
        <v>851</v>
      </c>
    </row>
    <row r="57" spans="1:8" x14ac:dyDescent="0.3">
      <c r="A57" s="99">
        <v>76</v>
      </c>
      <c r="B57" s="99" t="str">
        <f>WC!J317</f>
        <v/>
      </c>
      <c r="C57" s="253">
        <f>IF(B57&gt;"",calculations!AO76,0)</f>
        <v>0</v>
      </c>
      <c r="D57" s="254" t="s">
        <v>851</v>
      </c>
    </row>
    <row r="58" spans="1:8" x14ac:dyDescent="0.3">
      <c r="A58" s="99">
        <v>78</v>
      </c>
      <c r="B58" s="99" t="str">
        <f>WC!J351</f>
        <v/>
      </c>
      <c r="C58" s="253">
        <f>IF(B58&gt;"",calculations!AO78,0)</f>
        <v>0</v>
      </c>
      <c r="D58" s="255" t="s">
        <v>851</v>
      </c>
    </row>
    <row r="59" spans="1:8" x14ac:dyDescent="0.3">
      <c r="A59" s="99">
        <v>83</v>
      </c>
      <c r="B59" s="99" t="str">
        <f>WC!J403</f>
        <v/>
      </c>
      <c r="C59" s="253">
        <f>IF(B59&gt;"",calculations!AO83,0)</f>
        <v>0</v>
      </c>
      <c r="D59" s="254" t="s">
        <v>851</v>
      </c>
      <c r="F59" s="99"/>
    </row>
    <row r="60" spans="1:8" x14ac:dyDescent="0.3">
      <c r="A60" s="99">
        <v>91</v>
      </c>
      <c r="B60" s="99" t="str">
        <f>WC!J503</f>
        <v/>
      </c>
      <c r="C60" s="253">
        <f>IF(B60&gt;"",calculations!AO91,0)</f>
        <v>0</v>
      </c>
      <c r="D60" s="254" t="s">
        <v>851</v>
      </c>
    </row>
    <row r="61" spans="1:8" x14ac:dyDescent="0.3">
      <c r="A61" s="99">
        <v>90</v>
      </c>
      <c r="B61" s="99" t="str">
        <f>WC!J487</f>
        <v/>
      </c>
      <c r="C61" s="253">
        <f>IF(B61&gt;"",calculations!AO90,0)</f>
        <v>0</v>
      </c>
      <c r="D61" s="254" t="s">
        <v>851</v>
      </c>
    </row>
    <row r="62" spans="1:8" x14ac:dyDescent="0.3">
      <c r="A62" s="99">
        <v>89</v>
      </c>
      <c r="B62" s="99" t="str">
        <f>WC!J471</f>
        <v/>
      </c>
      <c r="C62" s="253">
        <f>IF(B62&gt;"",calculations!AO89,0)</f>
        <v>0</v>
      </c>
      <c r="D62" s="254" t="s">
        <v>851</v>
      </c>
    </row>
    <row r="63" spans="1:8" x14ac:dyDescent="0.3">
      <c r="A63" s="74"/>
      <c r="B63" s="74"/>
      <c r="C63" s="90"/>
      <c r="D63" s="340"/>
    </row>
    <row r="64" spans="1:8" ht="14.15" x14ac:dyDescent="0.3">
      <c r="C64" s="93" t="s">
        <v>390</v>
      </c>
      <c r="D64" s="96" t="s">
        <v>934</v>
      </c>
    </row>
    <row r="65" spans="2:6" x14ac:dyDescent="0.3">
      <c r="B65" s="99">
        <f>Camping!M97</f>
        <v>0</v>
      </c>
      <c r="C65" s="91">
        <f>IF(B65&gt;"",calculations!AO151,0)</f>
        <v>0</v>
      </c>
      <c r="D65" s="341">
        <v>0</v>
      </c>
      <c r="F65" s="95"/>
    </row>
    <row r="66" spans="2:6" x14ac:dyDescent="0.3">
      <c r="B66" s="99">
        <f>Camping!M115</f>
        <v>0</v>
      </c>
      <c r="C66" s="91">
        <f>IF(B66&gt;"",calculations!AO152,0)</f>
        <v>0</v>
      </c>
      <c r="D66" s="341">
        <v>0</v>
      </c>
    </row>
    <row r="67" spans="2:6" x14ac:dyDescent="0.3">
      <c r="B67" s="99" t="str">
        <f>Camping!M121</f>
        <v/>
      </c>
      <c r="C67" s="91">
        <f>IF(B67&gt;"",calculations!AO154,0)</f>
        <v>0</v>
      </c>
      <c r="D67" s="341" t="s">
        <v>851</v>
      </c>
    </row>
    <row r="68" spans="2:6" x14ac:dyDescent="0.3">
      <c r="B68" s="99" t="str">
        <f>Camping!M125</f>
        <v/>
      </c>
      <c r="C68" s="91">
        <f>IF(B68&gt;"",calculations!AO155,0)</f>
        <v>0</v>
      </c>
      <c r="D68" s="341" t="s">
        <v>851</v>
      </c>
    </row>
    <row r="69" spans="2:6" x14ac:dyDescent="0.3">
      <c r="B69" s="99" t="str">
        <f>Camping!M139</f>
        <v/>
      </c>
      <c r="C69" s="91">
        <f>IF(B69&gt;"",calculations!AO156,0)</f>
        <v>0</v>
      </c>
      <c r="D69" s="341" t="s">
        <v>851</v>
      </c>
    </row>
    <row r="70" spans="2:6" x14ac:dyDescent="0.3">
      <c r="B70" s="99" t="str">
        <f>Camping!M143</f>
        <v/>
      </c>
      <c r="C70" s="91">
        <f>IF(B70&gt;"",calculations!AO157,0)</f>
        <v>0</v>
      </c>
      <c r="D70" s="341" t="s">
        <v>851</v>
      </c>
    </row>
    <row r="71" spans="2:6" x14ac:dyDescent="0.3">
      <c r="B71" s="99" t="str">
        <f>Camping!M147</f>
        <v/>
      </c>
      <c r="C71" s="91">
        <f>IF(B71&gt;"",calculations!AO158,0)</f>
        <v>0</v>
      </c>
      <c r="D71" s="341" t="s">
        <v>851</v>
      </c>
    </row>
    <row r="72" spans="2:6" x14ac:dyDescent="0.3">
      <c r="B72" s="99" t="str">
        <f>Camping!M151</f>
        <v/>
      </c>
      <c r="C72" s="91">
        <f>IF(B72&gt;"",calculations!AO159,0)</f>
        <v>0</v>
      </c>
      <c r="D72" s="341" t="s">
        <v>851</v>
      </c>
    </row>
    <row r="73" spans="2:6" x14ac:dyDescent="0.3">
      <c r="B73" s="99" t="str">
        <f>Camping!M155</f>
        <v/>
      </c>
      <c r="C73" s="91">
        <f>IF(B73&gt;"",calculations!AO160,0)</f>
        <v>0</v>
      </c>
      <c r="D73" s="341" t="s">
        <v>851</v>
      </c>
    </row>
    <row r="74" spans="2:6" x14ac:dyDescent="0.3">
      <c r="B74" s="99" t="str">
        <f>Camping!M159</f>
        <v/>
      </c>
      <c r="C74" s="91">
        <f>IF(B74&gt;"",calculations!AO161,0)</f>
        <v>0</v>
      </c>
      <c r="D74" s="341" t="s">
        <v>851</v>
      </c>
    </row>
    <row r="75" spans="2:6" x14ac:dyDescent="0.3">
      <c r="B75" s="99" t="str">
        <f>Camping!M171</f>
        <v/>
      </c>
      <c r="C75" s="91">
        <f>IF(B75&gt;"",calculations!AO162,0)</f>
        <v>0</v>
      </c>
      <c r="D75" s="341" t="s">
        <v>851</v>
      </c>
    </row>
    <row r="76" spans="2:6" x14ac:dyDescent="0.3">
      <c r="B76" s="99" t="str">
        <f>Camping!M177</f>
        <v/>
      </c>
      <c r="C76" s="91">
        <f>IF(B76&gt;"",calculations!AO163,0)</f>
        <v>0</v>
      </c>
      <c r="D76" s="341" t="s">
        <v>851</v>
      </c>
    </row>
    <row r="77" spans="2:6" x14ac:dyDescent="0.3">
      <c r="B77" s="99" t="str">
        <f>Camping!M185</f>
        <v/>
      </c>
      <c r="C77" s="91">
        <f>IF(B77&gt;"",calculations!AO165,0)</f>
        <v>0</v>
      </c>
      <c r="D77" s="341" t="s">
        <v>851</v>
      </c>
    </row>
    <row r="78" spans="2:6" x14ac:dyDescent="0.3">
      <c r="B78" s="99" t="str">
        <f>Camping!M189</f>
        <v/>
      </c>
      <c r="C78" s="91">
        <f>IF(B78&gt;"",calculations!AO166,0)</f>
        <v>0</v>
      </c>
      <c r="D78" s="341" t="s">
        <v>851</v>
      </c>
    </row>
    <row r="79" spans="2:6" x14ac:dyDescent="0.3">
      <c r="B79" s="99" t="str">
        <f>Camping!M193</f>
        <v/>
      </c>
      <c r="C79" s="91">
        <f>IF(B79&gt;"",calculations!AO167,0)</f>
        <v>0</v>
      </c>
      <c r="D79" s="341" t="s">
        <v>851</v>
      </c>
    </row>
    <row r="80" spans="2:6" x14ac:dyDescent="0.3">
      <c r="B80" s="99" t="str">
        <f>Camping!M197</f>
        <v/>
      </c>
      <c r="C80" s="91">
        <f>IF(B80&gt;"",calculations!AO168,0)</f>
        <v>0</v>
      </c>
      <c r="D80" s="341" t="s">
        <v>851</v>
      </c>
    </row>
    <row r="81" spans="2:4" x14ac:dyDescent="0.3">
      <c r="B81" s="99" t="str">
        <f>Camping!M201</f>
        <v/>
      </c>
      <c r="C81" s="91">
        <f>IF(B81&gt;"",calculations!AO169,0)</f>
        <v>0</v>
      </c>
      <c r="D81" s="341" t="s">
        <v>851</v>
      </c>
    </row>
    <row r="82" spans="2:4" x14ac:dyDescent="0.3">
      <c r="B82" s="99" t="str">
        <f>Camping!M205</f>
        <v/>
      </c>
      <c r="C82" s="91">
        <f>IF(B82&gt;"",calculations!AO170,0)</f>
        <v>0</v>
      </c>
      <c r="D82" s="341" t="s">
        <v>851</v>
      </c>
    </row>
    <row r="83" spans="2:4" x14ac:dyDescent="0.3">
      <c r="B83" s="99" t="str">
        <f>Camping!M209</f>
        <v/>
      </c>
      <c r="C83" s="91">
        <f>IF(B83&gt;"",calculations!AO171,0)</f>
        <v>0</v>
      </c>
      <c r="D83" s="341" t="s">
        <v>851</v>
      </c>
    </row>
    <row r="84" spans="2:4" x14ac:dyDescent="0.3">
      <c r="B84" s="99" t="str">
        <f>Camping!J238</f>
        <v/>
      </c>
      <c r="C84" s="91">
        <f>IF(B84&gt;"",calculations!AO173,0)</f>
        <v>0</v>
      </c>
      <c r="D84" s="341" t="s">
        <v>851</v>
      </c>
    </row>
    <row r="85" spans="2:4" x14ac:dyDescent="0.3">
      <c r="B85" s="99" t="str">
        <f>Camping!J256</f>
        <v/>
      </c>
      <c r="C85" s="91">
        <f>IF(B85&gt;"",calculations!AO174,0)</f>
        <v>0</v>
      </c>
      <c r="D85" s="341" t="s">
        <v>851</v>
      </c>
    </row>
    <row r="86" spans="2:4" x14ac:dyDescent="0.3">
      <c r="B86" s="99" t="str">
        <f>Camping!J273</f>
        <v/>
      </c>
      <c r="C86" s="91">
        <f>IF(B86&gt;"",calculations!AO175,0)</f>
        <v>0</v>
      </c>
      <c r="D86" s="341" t="s">
        <v>851</v>
      </c>
    </row>
    <row r="87" spans="2:4" x14ac:dyDescent="0.3">
      <c r="B87" s="99" t="str">
        <f>Camping!J291</f>
        <v/>
      </c>
      <c r="C87" s="91">
        <f>IF(B87&gt;"",calculations!AO176,0)</f>
        <v>0</v>
      </c>
      <c r="D87" s="341" t="s">
        <v>851</v>
      </c>
    </row>
    <row r="88" spans="2:4" x14ac:dyDescent="0.3">
      <c r="B88" s="99" t="str">
        <f>Camping!J310</f>
        <v/>
      </c>
      <c r="C88" s="91">
        <f>IF(B88&gt;"",calculations!AO177,0)</f>
        <v>0</v>
      </c>
      <c r="D88" s="341" t="s">
        <v>851</v>
      </c>
    </row>
    <row r="89" spans="2:4" x14ac:dyDescent="0.3">
      <c r="B89" s="99" t="str">
        <f>Camping!J326</f>
        <v/>
      </c>
      <c r="C89" s="91">
        <f>IF(B89&gt;"",calculations!AO178,0)</f>
        <v>0</v>
      </c>
      <c r="D89" s="341" t="s">
        <v>851</v>
      </c>
    </row>
    <row r="90" spans="2:4" x14ac:dyDescent="0.3">
      <c r="B90" s="99" t="str">
        <f>Camping!J342</f>
        <v/>
      </c>
      <c r="C90" s="91">
        <f>IF(B90&gt;"",calculations!AO179,0)</f>
        <v>0</v>
      </c>
      <c r="D90" s="341" t="s">
        <v>851</v>
      </c>
    </row>
    <row r="91" spans="2:4" x14ac:dyDescent="0.3">
      <c r="B91" s="99">
        <f>Camping!J366</f>
        <v>0</v>
      </c>
      <c r="C91" s="91">
        <f>IF(B91&gt;"",calculations!AO180,0)</f>
        <v>0</v>
      </c>
      <c r="D91" s="341">
        <v>0</v>
      </c>
    </row>
    <row r="92" spans="2:4" x14ac:dyDescent="0.3">
      <c r="B92" s="99" t="str">
        <f>Camping!J419</f>
        <v/>
      </c>
      <c r="C92" s="91">
        <f>IF(B92&gt;"",calculations!AO181,0)</f>
        <v>0</v>
      </c>
      <c r="D92" s="341" t="s">
        <v>851</v>
      </c>
    </row>
    <row r="93" spans="2:4" x14ac:dyDescent="0.3">
      <c r="B93" s="99" t="str">
        <f>Camping!J435</f>
        <v/>
      </c>
      <c r="C93" s="91">
        <f>IF(B93&gt;"",calculations!AO182,0)</f>
        <v>0</v>
      </c>
      <c r="D93" s="341" t="s">
        <v>851</v>
      </c>
    </row>
    <row r="94" spans="2:4" x14ac:dyDescent="0.3">
      <c r="B94" s="99" t="str">
        <f>Camping!J451</f>
        <v/>
      </c>
      <c r="C94" s="91">
        <f>IF(B94&gt;"",calculations!AO183,0)</f>
        <v>0</v>
      </c>
      <c r="D94" s="341" t="s">
        <v>851</v>
      </c>
    </row>
    <row r="95" spans="2:4" x14ac:dyDescent="0.3">
      <c r="B95" s="99" t="str">
        <f>Camping!M475</f>
        <v/>
      </c>
      <c r="C95" s="91">
        <f>IF(B95&gt;"",calculations!AO184,0)</f>
        <v>0</v>
      </c>
      <c r="D95" s="341" t="s">
        <v>851</v>
      </c>
    </row>
    <row r="96" spans="2:4" x14ac:dyDescent="0.3">
      <c r="B96" s="99" t="str">
        <f>Camping!M499</f>
        <v/>
      </c>
      <c r="C96" s="91">
        <f>IF(B96&gt;"",calculations!AO185,0)</f>
        <v>0</v>
      </c>
      <c r="D96" s="341" t="s">
        <v>851</v>
      </c>
    </row>
    <row r="97" spans="2:4" x14ac:dyDescent="0.3">
      <c r="B97" s="99" t="str">
        <f>Camping!M521</f>
        <v/>
      </c>
      <c r="C97" s="91">
        <f>IF(B97&gt;"",calculations!AO186,0)</f>
        <v>0</v>
      </c>
      <c r="D97" s="341" t="s">
        <v>851</v>
      </c>
    </row>
    <row r="98" spans="2:4" x14ac:dyDescent="0.3">
      <c r="B98" s="99" t="str">
        <f>Camping!J541</f>
        <v/>
      </c>
      <c r="C98" s="91">
        <f>IF(B98&gt;"",calculations!AO187,0)</f>
        <v>0</v>
      </c>
      <c r="D98" s="341" t="s">
        <v>851</v>
      </c>
    </row>
    <row r="99" spans="2:4" x14ac:dyDescent="0.3">
      <c r="B99" s="99" t="str">
        <f>Camping!J557</f>
        <v/>
      </c>
      <c r="C99" s="91">
        <f>IF(B99&gt;"",calculations!AO188,0)</f>
        <v>0</v>
      </c>
      <c r="D99" s="341" t="s">
        <v>851</v>
      </c>
    </row>
    <row r="100" spans="2:4" x14ac:dyDescent="0.3">
      <c r="B100" s="99" t="str">
        <f>Camping!J573</f>
        <v/>
      </c>
      <c r="C100" s="91">
        <f>IF(B100&gt;"",calculations!AO189,0)</f>
        <v>0</v>
      </c>
      <c r="D100" s="341" t="s">
        <v>851</v>
      </c>
    </row>
    <row r="101" spans="2:4" x14ac:dyDescent="0.3">
      <c r="B101" s="99" t="str">
        <f>Camping!J590</f>
        <v/>
      </c>
      <c r="C101" s="91">
        <f>IF(B101&gt;"",calculations!AO190,0)</f>
        <v>0</v>
      </c>
      <c r="D101" s="341" t="s">
        <v>851</v>
      </c>
    </row>
    <row r="102" spans="2:4" x14ac:dyDescent="0.3">
      <c r="B102" s="99" t="str">
        <f>Camping!J606</f>
        <v/>
      </c>
      <c r="C102" s="91">
        <f>IF(B102&gt;"",calculations!AO191,0)</f>
        <v>0</v>
      </c>
      <c r="D102" s="341" t="s">
        <v>851</v>
      </c>
    </row>
    <row r="103" spans="2:4" x14ac:dyDescent="0.3">
      <c r="B103" s="99" t="str">
        <f>Camping!J403</f>
        <v/>
      </c>
      <c r="C103" s="91">
        <f>IF(B103&gt;"",calculations!AO192,0)</f>
        <v>0</v>
      </c>
      <c r="D103" s="341" t="s">
        <v>851</v>
      </c>
    </row>
    <row r="104" spans="2:4" x14ac:dyDescent="0.3">
      <c r="B104" s="99" t="str">
        <f>Camping!J629</f>
        <v/>
      </c>
      <c r="C104" s="91">
        <f>IF(B104&gt;"",calculations!AO193,0)</f>
        <v>0</v>
      </c>
      <c r="D104" s="341" t="s">
        <v>851</v>
      </c>
    </row>
    <row r="105" spans="2:4" x14ac:dyDescent="0.3">
      <c r="B105" s="99" t="str">
        <f>Camping!J387</f>
        <v/>
      </c>
      <c r="C105" s="91">
        <f>IF(B105&gt;"",calculations!AO194,0)</f>
        <v>0</v>
      </c>
      <c r="D105" s="341" t="s">
        <v>851</v>
      </c>
    </row>
    <row r="106" spans="2:4" x14ac:dyDescent="0.3">
      <c r="B106" s="99" t="str">
        <f>Camping!J651</f>
        <v/>
      </c>
      <c r="C106" s="91">
        <f>IF(B106&gt;"",calculations!AO195,0)</f>
        <v>0</v>
      </c>
      <c r="D106" s="341" t="s">
        <v>851</v>
      </c>
    </row>
    <row r="107" spans="2:4" x14ac:dyDescent="0.3">
      <c r="B107" s="99" t="str">
        <f>Camping!J669</f>
        <v/>
      </c>
      <c r="C107" s="91">
        <f>IF(B107&gt;"",calculations!AO196,0)</f>
        <v>0</v>
      </c>
      <c r="D107" s="341" t="s">
        <v>851</v>
      </c>
    </row>
    <row r="108" spans="2:4" x14ac:dyDescent="0.3">
      <c r="B108" s="99" t="str">
        <f>Camping!J686</f>
        <v/>
      </c>
      <c r="C108" s="91">
        <f>IF(B108&gt;"",calculations!AO197,0)</f>
        <v>0</v>
      </c>
      <c r="D108" s="341" t="s">
        <v>851</v>
      </c>
    </row>
    <row r="109" spans="2:4" x14ac:dyDescent="0.3">
      <c r="B109" s="99" t="str">
        <f>Camping!J702</f>
        <v/>
      </c>
      <c r="C109" s="91">
        <f>IF(B109&gt;"",calculations!AO198,0)</f>
        <v>0</v>
      </c>
      <c r="D109" s="341" t="s">
        <v>851</v>
      </c>
    </row>
    <row r="110" spans="2:4" x14ac:dyDescent="0.3">
      <c r="B110" s="99" t="str">
        <f>Camping!J720</f>
        <v/>
      </c>
      <c r="C110" s="91">
        <f>IF(B110&gt;"",calculations!AO199,0)</f>
        <v>0</v>
      </c>
      <c r="D110" s="341" t="s">
        <v>851</v>
      </c>
    </row>
    <row r="111" spans="2:4" x14ac:dyDescent="0.3">
      <c r="B111" s="99" t="str">
        <f>Camping!J740</f>
        <v/>
      </c>
      <c r="C111" s="91">
        <f>IF(B111&gt;"",calculations!AO200,0)</f>
        <v>0</v>
      </c>
      <c r="D111" s="341" t="s">
        <v>851</v>
      </c>
    </row>
    <row r="112" spans="2:4" x14ac:dyDescent="0.3">
      <c r="B112" s="99" t="str">
        <f>Camping!J756</f>
        <v/>
      </c>
      <c r="C112" s="91">
        <f>IF(B112&gt;"",calculations!AO201,0)</f>
        <v>0</v>
      </c>
      <c r="D112" s="341" t="s">
        <v>851</v>
      </c>
    </row>
    <row r="113" spans="1:4" x14ac:dyDescent="0.3">
      <c r="A113" s="310"/>
      <c r="B113" s="310"/>
      <c r="C113" s="311"/>
      <c r="D113" s="312"/>
    </row>
    <row r="114" spans="1:4" x14ac:dyDescent="0.3">
      <c r="D114" s="290"/>
    </row>
  </sheetData>
  <sortState ref="A6:C38">
    <sortCondition descending="1" ref="C6"/>
  </sortState>
  <phoneticPr fontId="2" type="noConversion"/>
  <pageMargins left="0.75" right="0.75" top="1" bottom="1" header="0.5" footer="0.5"/>
  <pageSetup orientation="portrait"/>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U242"/>
  <sheetViews>
    <sheetView workbookViewId="0">
      <pane ySplit="1" topLeftCell="A104" activePane="bottomLeft" state="frozen"/>
      <selection pane="bottomLeft" activeCell="D76" sqref="D76:D81"/>
    </sheetView>
  </sheetViews>
  <sheetFormatPr defaultColWidth="9.15234375" defaultRowHeight="11.6" x14ac:dyDescent="0.3"/>
  <cols>
    <col min="1" max="1" width="7.4609375" style="231" customWidth="1"/>
    <col min="2" max="2" width="24.15234375" style="231" customWidth="1"/>
    <col min="3" max="3" width="9.4609375" style="231" customWidth="1"/>
    <col min="4" max="4" width="67.4609375" style="231" customWidth="1"/>
    <col min="5" max="5" width="109" style="354" customWidth="1"/>
    <col min="6" max="7" width="88.4609375" style="231" customWidth="1"/>
    <col min="8" max="16384" width="9.15234375" style="231"/>
  </cols>
  <sheetData>
    <row r="1" spans="1:73" s="357" customFormat="1" x14ac:dyDescent="0.3">
      <c r="A1" s="356" t="s">
        <v>385</v>
      </c>
      <c r="B1" s="356" t="s">
        <v>386</v>
      </c>
      <c r="C1" s="356" t="s">
        <v>387</v>
      </c>
      <c r="D1" s="356" t="s">
        <v>388</v>
      </c>
    </row>
    <row r="2" spans="1:73" s="357" customFormat="1" x14ac:dyDescent="0.3">
      <c r="A2" s="358" t="s">
        <v>1909</v>
      </c>
      <c r="B2" s="358"/>
      <c r="C2" s="358"/>
      <c r="D2" s="358"/>
      <c r="E2" s="359"/>
    </row>
    <row r="3" spans="1:73" x14ac:dyDescent="0.3">
      <c r="A3" s="360" t="s">
        <v>627</v>
      </c>
      <c r="B3" s="361" t="s">
        <v>69</v>
      </c>
      <c r="C3" s="361" t="s">
        <v>382</v>
      </c>
      <c r="D3" s="362" t="s">
        <v>1917</v>
      </c>
      <c r="E3" s="360" t="str">
        <f>D3</f>
        <v>The employment application should require potential employees to sign an abuse prevention code of conduct and answer a question regarding past criminal convictions. That question could be: "Have you ever been convicted of, plead guilty to, or plead 'no contest' to any crime? If yes, please explain."</v>
      </c>
      <c r="F3" s="354"/>
    </row>
    <row r="4" spans="1:73" x14ac:dyDescent="0.3">
      <c r="A4" s="360" t="s">
        <v>628</v>
      </c>
      <c r="B4" s="361" t="s">
        <v>69</v>
      </c>
      <c r="C4" s="361" t="s">
        <v>383</v>
      </c>
      <c r="D4" s="362" t="s">
        <v>1917</v>
      </c>
      <c r="E4" s="360" t="str">
        <f t="shared" ref="E4:E67" si="0">D4</f>
        <v>The employment application should require potential employees to sign an abuse prevention code of conduct and answer a question regarding past criminal convictions. That question could be: "Have you ever been convicted of, plead guilty to, or plead 'no contest' to any crime? If yes, please explain."</v>
      </c>
      <c r="F4" s="231" t="s">
        <v>389</v>
      </c>
    </row>
    <row r="5" spans="1:73" x14ac:dyDescent="0.3">
      <c r="A5" s="231" t="s">
        <v>634</v>
      </c>
      <c r="B5" s="361" t="s">
        <v>706</v>
      </c>
      <c r="C5" s="361" t="s">
        <v>382</v>
      </c>
      <c r="D5" s="354" t="s">
        <v>623</v>
      </c>
      <c r="E5" s="360" t="str">
        <f t="shared" si="0"/>
        <v>Documented reference checks should be conducted for all applicants seeking employment in child-serving positions. Preferably this would include two non-family and one immediate family reference.</v>
      </c>
      <c r="F5" s="231" t="s">
        <v>389</v>
      </c>
      <c r="BL5" s="363"/>
      <c r="BM5" s="363"/>
      <c r="BN5" s="363"/>
      <c r="BO5" s="363"/>
      <c r="BP5" s="363"/>
      <c r="BQ5" s="363"/>
      <c r="BR5" s="363"/>
      <c r="BS5" s="363"/>
      <c r="BT5" s="363"/>
      <c r="BU5" s="363"/>
    </row>
    <row r="6" spans="1:73" x14ac:dyDescent="0.3">
      <c r="A6" s="231" t="s">
        <v>635</v>
      </c>
      <c r="B6" s="361" t="s">
        <v>706</v>
      </c>
      <c r="C6" s="361" t="s">
        <v>383</v>
      </c>
      <c r="D6" s="354" t="s">
        <v>623</v>
      </c>
      <c r="E6" s="360" t="str">
        <f t="shared" si="0"/>
        <v>Documented reference checks should be conducted for all applicants seeking employment in child-serving positions. Preferably this would include two non-family and one immediate family reference.</v>
      </c>
      <c r="F6" s="231" t="s">
        <v>389</v>
      </c>
      <c r="BL6" s="363"/>
      <c r="BM6" s="363"/>
      <c r="BN6" s="363"/>
      <c r="BO6" s="363"/>
      <c r="BP6" s="363"/>
      <c r="BQ6" s="363"/>
      <c r="BR6" s="363"/>
      <c r="BS6" s="363"/>
      <c r="BT6" s="363"/>
      <c r="BU6" s="363"/>
    </row>
    <row r="7" spans="1:73" x14ac:dyDescent="0.3">
      <c r="A7" s="231" t="s">
        <v>642</v>
      </c>
      <c r="B7" s="361" t="s">
        <v>707</v>
      </c>
      <c r="C7" s="361" t="s">
        <v>382</v>
      </c>
      <c r="D7" s="354" t="s">
        <v>624</v>
      </c>
      <c r="E7" s="360" t="str">
        <f t="shared" si="0"/>
        <v>Criminal Background checks from all jurisdictions in which the applicant has lived or worked in the last five years should be obtained for all paid staff positions.</v>
      </c>
      <c r="F7" s="231" t="s">
        <v>389</v>
      </c>
      <c r="BL7" s="363"/>
      <c r="BM7" s="363"/>
      <c r="BN7" s="363"/>
      <c r="BO7" s="363"/>
      <c r="BP7" s="363"/>
      <c r="BQ7" s="363"/>
      <c r="BR7" s="363"/>
      <c r="BS7" s="363"/>
      <c r="BT7" s="363"/>
      <c r="BU7" s="363"/>
    </row>
    <row r="8" spans="1:73" x14ac:dyDescent="0.3">
      <c r="A8" s="231" t="s">
        <v>643</v>
      </c>
      <c r="B8" s="361" t="s">
        <v>707</v>
      </c>
      <c r="C8" s="361" t="s">
        <v>384</v>
      </c>
      <c r="D8" s="354" t="s">
        <v>624</v>
      </c>
      <c r="E8" s="360" t="str">
        <f t="shared" si="0"/>
        <v>Criminal Background checks from all jurisdictions in which the applicant has lived or worked in the last five years should be obtained for all paid staff positions.</v>
      </c>
      <c r="F8" s="231" t="s">
        <v>389</v>
      </c>
      <c r="BL8" s="363"/>
      <c r="BM8" s="363"/>
      <c r="BN8" s="363"/>
      <c r="BO8" s="363"/>
      <c r="BP8" s="363"/>
      <c r="BQ8" s="364"/>
      <c r="BR8" s="363"/>
      <c r="BS8" s="363"/>
      <c r="BT8" s="363"/>
      <c r="BU8" s="363"/>
    </row>
    <row r="9" spans="1:73" x14ac:dyDescent="0.3">
      <c r="A9" s="231" t="s">
        <v>286</v>
      </c>
      <c r="B9" s="361" t="s">
        <v>708</v>
      </c>
      <c r="C9" s="361" t="s">
        <v>382</v>
      </c>
      <c r="D9" s="354" t="s">
        <v>1762</v>
      </c>
      <c r="E9" s="360" t="str">
        <f t="shared" si="0"/>
        <v>1) Child abuse prevention training should be completed by all paid staff members and all child-serving volunteers within 60 days of hire. 2) summer staff should complete training before they begin camp.</v>
      </c>
      <c r="F9" s="231" t="s">
        <v>389</v>
      </c>
      <c r="BL9" s="363"/>
      <c r="BM9" s="363"/>
      <c r="BN9" s="363"/>
      <c r="BO9" s="363"/>
      <c r="BP9" s="363"/>
      <c r="BQ9" s="364"/>
      <c r="BR9" s="363"/>
      <c r="BS9" s="363"/>
      <c r="BT9" s="363"/>
      <c r="BU9" s="363"/>
    </row>
    <row r="10" spans="1:73" x14ac:dyDescent="0.3">
      <c r="A10" s="231" t="s">
        <v>285</v>
      </c>
      <c r="B10" s="361" t="s">
        <v>708</v>
      </c>
      <c r="C10" s="361" t="s">
        <v>383</v>
      </c>
      <c r="D10" s="354" t="s">
        <v>1762</v>
      </c>
      <c r="E10" s="360" t="str">
        <f t="shared" si="0"/>
        <v>1) Child abuse prevention training should be completed by all paid staff members and all child-serving volunteers within 60 days of hire. 2) summer staff should complete training before they begin camp.</v>
      </c>
      <c r="F10" s="231" t="s">
        <v>389</v>
      </c>
      <c r="BL10" s="363"/>
      <c r="BM10" s="363"/>
      <c r="BN10" s="363"/>
      <c r="BO10" s="363"/>
      <c r="BP10" s="363"/>
      <c r="BQ10" s="364"/>
      <c r="BR10" s="363"/>
      <c r="BS10" s="363"/>
      <c r="BT10" s="363"/>
      <c r="BU10" s="363"/>
    </row>
    <row r="11" spans="1:73" x14ac:dyDescent="0.3">
      <c r="A11" s="231" t="s">
        <v>654</v>
      </c>
      <c r="B11" s="361" t="s">
        <v>709</v>
      </c>
      <c r="C11" s="361" t="s">
        <v>382</v>
      </c>
      <c r="D11" s="354" t="s">
        <v>1763</v>
      </c>
      <c r="E11" s="360" t="str">
        <f t="shared" si="0"/>
        <v>1) Parental feed-back should be actively solicited by placing the staff and volunteers’ abuse prevention code of conduct in the hands of each participant's parents. 2) The staff and volunteers’ abuse prevention code of conduct should be posted on the website or a prominent bulletin board.</v>
      </c>
      <c r="F11" s="231" t="s">
        <v>389</v>
      </c>
      <c r="BL11" s="363"/>
      <c r="BM11" s="363"/>
      <c r="BN11" s="363"/>
      <c r="BO11" s="363"/>
      <c r="BP11" s="363"/>
      <c r="BQ11" s="364"/>
      <c r="BR11" s="363"/>
      <c r="BS11" s="363"/>
      <c r="BT11" s="363"/>
      <c r="BU11" s="363"/>
    </row>
    <row r="12" spans="1:73" x14ac:dyDescent="0.3">
      <c r="A12" s="357" t="s">
        <v>655</v>
      </c>
      <c r="B12" s="361" t="s">
        <v>709</v>
      </c>
      <c r="C12" s="361" t="s">
        <v>383</v>
      </c>
      <c r="D12" s="354" t="s">
        <v>1763</v>
      </c>
      <c r="E12" s="360" t="str">
        <f t="shared" si="0"/>
        <v>1) Parental feed-back should be actively solicited by placing the staff and volunteers’ abuse prevention code of conduct in the hands of each participant's parents. 2) The staff and volunteers’ abuse prevention code of conduct should be posted on the website or a prominent bulletin board.</v>
      </c>
      <c r="F12" s="231" t="s">
        <v>389</v>
      </c>
      <c r="BL12" s="363"/>
      <c r="BM12" s="363"/>
      <c r="BN12" s="363"/>
      <c r="BO12" s="363"/>
      <c r="BP12" s="363"/>
      <c r="BQ12" s="364"/>
      <c r="BR12" s="363"/>
      <c r="BS12" s="363"/>
      <c r="BT12" s="363"/>
      <c r="BU12" s="363"/>
    </row>
    <row r="13" spans="1:73" x14ac:dyDescent="0.3">
      <c r="A13" s="231" t="s">
        <v>3</v>
      </c>
      <c r="B13" s="361" t="s">
        <v>710</v>
      </c>
      <c r="C13" s="361" t="s">
        <v>382</v>
      </c>
      <c r="D13" s="214" t="s">
        <v>163</v>
      </c>
      <c r="E13" s="360" t="str">
        <f t="shared" si="0"/>
        <v>Access to the facility should be controlled by securing all unattended entrances, using membership cards that have a photograph or display one to a monitor when scanned, and requiring all adult non-members to provide government- or school-issued photo ID.</v>
      </c>
      <c r="F13" s="231" t="s">
        <v>389</v>
      </c>
      <c r="BL13" s="363"/>
      <c r="BM13" s="363"/>
      <c r="BN13" s="363"/>
      <c r="BO13" s="363"/>
      <c r="BP13" s="363"/>
      <c r="BQ13" s="364"/>
      <c r="BR13" s="363"/>
      <c r="BS13" s="363"/>
      <c r="BT13" s="363"/>
      <c r="BU13" s="363"/>
    </row>
    <row r="14" spans="1:73" x14ac:dyDescent="0.3">
      <c r="A14" s="231" t="s">
        <v>4</v>
      </c>
      <c r="B14" s="361" t="s">
        <v>710</v>
      </c>
      <c r="C14" s="361" t="s">
        <v>383</v>
      </c>
      <c r="D14" s="240" t="s">
        <v>163</v>
      </c>
      <c r="E14" s="360" t="str">
        <f t="shared" si="0"/>
        <v>Access to the facility should be controlled by securing all unattended entrances, using membership cards that have a photograph or display one to a monitor when scanned, and requiring all adult non-members to provide government- or school-issued photo ID.</v>
      </c>
      <c r="F14" s="231" t="s">
        <v>389</v>
      </c>
      <c r="BL14" s="363"/>
      <c r="BM14" s="363"/>
      <c r="BN14" s="363"/>
      <c r="BO14" s="363"/>
      <c r="BP14" s="363"/>
      <c r="BQ14" s="364"/>
      <c r="BR14" s="363"/>
      <c r="BS14" s="363"/>
      <c r="BT14" s="363"/>
      <c r="BU14" s="363"/>
    </row>
    <row r="15" spans="1:73" x14ac:dyDescent="0.3">
      <c r="A15" s="231" t="s">
        <v>10</v>
      </c>
      <c r="B15" s="361" t="s">
        <v>711</v>
      </c>
      <c r="C15" s="361" t="s">
        <v>382</v>
      </c>
      <c r="D15" s="240" t="s">
        <v>1764</v>
      </c>
      <c r="E15" s="360" t="str">
        <f t="shared" si="0"/>
        <v>1) Windows should provided and kept clear to allow vision into childcare areas. 2) All doors to areas that are not actively in use should be locked. 3) Undocumented sweeps of all locker rooms should be made at least every 30 minutes.</v>
      </c>
      <c r="F15" s="231" t="s">
        <v>389</v>
      </c>
      <c r="BL15" s="363"/>
      <c r="BM15" s="363"/>
      <c r="BN15" s="363"/>
      <c r="BO15" s="363"/>
      <c r="BP15" s="363"/>
      <c r="BQ15" s="364"/>
      <c r="BR15" s="363"/>
      <c r="BS15" s="363"/>
      <c r="BT15" s="363"/>
      <c r="BU15" s="363"/>
    </row>
    <row r="16" spans="1:73" x14ac:dyDescent="0.3">
      <c r="A16" s="231" t="s">
        <v>287</v>
      </c>
      <c r="B16" s="361" t="s">
        <v>711</v>
      </c>
      <c r="C16" s="361" t="s">
        <v>383</v>
      </c>
      <c r="D16" s="240" t="s">
        <v>1764</v>
      </c>
      <c r="E16" s="360" t="str">
        <f t="shared" si="0"/>
        <v>1) Windows should provided and kept clear to allow vision into childcare areas. 2) All doors to areas that are not actively in use should be locked. 3) Undocumented sweeps of all locker rooms should be made at least every 30 minutes.</v>
      </c>
      <c r="F16" s="231" t="s">
        <v>389</v>
      </c>
      <c r="BL16" s="363"/>
      <c r="BM16" s="363"/>
      <c r="BN16" s="363"/>
      <c r="BO16" s="363"/>
      <c r="BP16" s="363"/>
      <c r="BQ16" s="364"/>
      <c r="BR16" s="363"/>
      <c r="BS16" s="363"/>
      <c r="BT16" s="363"/>
      <c r="BU16" s="363"/>
    </row>
    <row r="17" spans="1:73" x14ac:dyDescent="0.3">
      <c r="A17" s="231" t="s">
        <v>292</v>
      </c>
      <c r="B17" s="361" t="s">
        <v>712</v>
      </c>
      <c r="C17" s="361" t="s">
        <v>382</v>
      </c>
      <c r="D17" s="354" t="s">
        <v>1765</v>
      </c>
      <c r="E17" s="360" t="str">
        <f t="shared" si="0"/>
        <v>The age at which unaccompanied children may be alone in the building 1) should clearly posted and 2) should be listed on the web page and/or in printed materials.</v>
      </c>
      <c r="F17" s="231" t="s">
        <v>389</v>
      </c>
      <c r="BL17" s="363"/>
      <c r="BM17" s="363"/>
      <c r="BN17" s="363"/>
      <c r="BO17" s="363"/>
      <c r="BP17" s="363"/>
      <c r="BQ17" s="364"/>
      <c r="BR17" s="363"/>
      <c r="BS17" s="363"/>
      <c r="BT17" s="363"/>
      <c r="BU17" s="363"/>
    </row>
    <row r="18" spans="1:73" x14ac:dyDescent="0.3">
      <c r="A18" s="231" t="s">
        <v>293</v>
      </c>
      <c r="B18" s="361" t="s">
        <v>712</v>
      </c>
      <c r="C18" s="361" t="s">
        <v>383</v>
      </c>
      <c r="D18" s="354" t="s">
        <v>1765</v>
      </c>
      <c r="E18" s="360" t="str">
        <f t="shared" si="0"/>
        <v>The age at which unaccompanied children may be alone in the building 1) should clearly posted and 2) should be listed on the web page and/or in printed materials.</v>
      </c>
      <c r="F18" s="231" t="s">
        <v>389</v>
      </c>
      <c r="BL18" s="363"/>
      <c r="BM18" s="363"/>
      <c r="BN18" s="363"/>
      <c r="BO18" s="363"/>
      <c r="BP18" s="363"/>
      <c r="BQ18" s="363"/>
      <c r="BR18" s="363"/>
      <c r="BS18" s="363"/>
      <c r="BT18" s="363"/>
      <c r="BU18" s="363"/>
    </row>
    <row r="19" spans="1:73" ht="12.75" customHeight="1" x14ac:dyDescent="0.3">
      <c r="A19" s="231" t="s">
        <v>298</v>
      </c>
      <c r="B19" s="361" t="s">
        <v>713</v>
      </c>
      <c r="C19" s="361" t="s">
        <v>382</v>
      </c>
      <c r="D19" s="354" t="s">
        <v>1766</v>
      </c>
      <c r="E19" s="360" t="str">
        <f t="shared" si="0"/>
        <v>1) Protocols should prevent a staff member from being alone at an off-site with a child. 2) Any childcare, after-school care, camp, and child watch location in a branch facility should be in highly visible areas with designated drop-off/check-in and pick-up/check-out protocols.</v>
      </c>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BL19" s="363"/>
      <c r="BM19" s="363"/>
      <c r="BN19" s="363"/>
      <c r="BO19" s="363"/>
      <c r="BP19" s="363"/>
      <c r="BQ19" s="363"/>
      <c r="BR19" s="363"/>
      <c r="BS19" s="363"/>
      <c r="BT19" s="363"/>
      <c r="BU19" s="363"/>
    </row>
    <row r="20" spans="1:73" ht="12.75" customHeight="1" x14ac:dyDescent="0.3">
      <c r="A20" s="231" t="s">
        <v>299</v>
      </c>
      <c r="B20" s="361" t="s">
        <v>713</v>
      </c>
      <c r="C20" s="361" t="s">
        <v>383</v>
      </c>
      <c r="D20" s="354" t="s">
        <v>1766</v>
      </c>
      <c r="E20" s="360" t="str">
        <f t="shared" si="0"/>
        <v>1) Protocols should prevent a staff member from being alone at an off-site with a child. 2) Any childcare, after-school care, camp, and child watch location in a branch facility should be in highly visible areas with designated drop-off/check-in and pick-up/check-out protocols.</v>
      </c>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BL20" s="363"/>
      <c r="BM20" s="363"/>
      <c r="BN20" s="363"/>
      <c r="BO20" s="363"/>
      <c r="BP20" s="363"/>
      <c r="BQ20" s="363"/>
      <c r="BR20" s="363"/>
      <c r="BS20" s="363"/>
      <c r="BT20" s="363"/>
      <c r="BU20" s="363"/>
    </row>
    <row r="21" spans="1:73" ht="12.75" customHeight="1" x14ac:dyDescent="0.3">
      <c r="A21" s="365" t="s">
        <v>304</v>
      </c>
      <c r="B21" s="361" t="s">
        <v>714</v>
      </c>
      <c r="C21" s="361" t="s">
        <v>382</v>
      </c>
      <c r="D21" s="351" t="s">
        <v>1767</v>
      </c>
      <c r="E21" s="360" t="str">
        <f t="shared" si="0"/>
        <v xml:space="preserve">OPTION 1: The program’s staff-to-child child ratio should always be maintained during transport without counting the driver and if multiple staff are involved they are scattered throughout the vehicle. 
OR
OPTION 2: A procedure should be established to verify that all children who got into the vehicle also got out of the vehicle at the appropriate destination (roll call, check list, etc.); the procedure should also include driver verification of departures via phone or radio. (only for vehicles used on regular routes less than 10 miles long with a single staff person). 
</v>
      </c>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c r="AE21" s="354"/>
      <c r="AF21" s="354"/>
      <c r="AG21" s="354"/>
      <c r="AH21" s="354"/>
      <c r="AI21" s="354"/>
      <c r="AJ21" s="354"/>
      <c r="BL21" s="363"/>
      <c r="BM21" s="363"/>
      <c r="BN21" s="363"/>
      <c r="BO21" s="363"/>
      <c r="BP21" s="363"/>
      <c r="BQ21" s="363"/>
      <c r="BR21" s="363"/>
      <c r="BS21" s="363"/>
      <c r="BT21" s="363"/>
      <c r="BU21" s="363"/>
    </row>
    <row r="22" spans="1:73" ht="12" customHeight="1" x14ac:dyDescent="0.3">
      <c r="A22" s="365" t="s">
        <v>305</v>
      </c>
      <c r="B22" s="361" t="s">
        <v>714</v>
      </c>
      <c r="C22" s="361" t="s">
        <v>383</v>
      </c>
      <c r="D22" s="351" t="s">
        <v>1767</v>
      </c>
      <c r="E22" s="360" t="str">
        <f t="shared" si="0"/>
        <v xml:space="preserve">OPTION 1: The program’s staff-to-child child ratio should always be maintained during transport without counting the driver and if multiple staff are involved they are scattered throughout the vehicle. 
OR
OPTION 2: A procedure should be established to verify that all children who got into the vehicle also got out of the vehicle at the appropriate destination (roll call, check list, etc.); the procedure should also include driver verification of departures via phone or radio. (only for vehicles used on regular routes less than 10 miles long with a single staff person). 
</v>
      </c>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BL22" s="363"/>
      <c r="BM22" s="363"/>
      <c r="BN22" s="363"/>
      <c r="BO22" s="363"/>
      <c r="BP22" s="363"/>
      <c r="BQ22" s="363"/>
      <c r="BR22" s="363"/>
      <c r="BS22" s="363"/>
      <c r="BT22" s="363"/>
      <c r="BU22" s="363"/>
    </row>
    <row r="23" spans="1:73" x14ac:dyDescent="0.3">
      <c r="A23" s="231" t="s">
        <v>16</v>
      </c>
      <c r="B23" s="361" t="s">
        <v>716</v>
      </c>
      <c r="C23" s="361" t="s">
        <v>382</v>
      </c>
      <c r="D23" s="354" t="s">
        <v>1893</v>
      </c>
      <c r="E23" s="360" t="str">
        <f t="shared" si="0"/>
        <v>Every open managed body of water should be actively guarded at all times by at least one certified lifeguard.</v>
      </c>
      <c r="F23" s="354"/>
      <c r="G23" s="354"/>
      <c r="H23" s="354"/>
      <c r="I23" s="354"/>
      <c r="J23" s="354"/>
      <c r="K23" s="354"/>
      <c r="L23" s="354"/>
      <c r="M23" s="354"/>
      <c r="N23" s="354"/>
      <c r="O23" s="354"/>
      <c r="P23" s="354"/>
      <c r="Q23" s="354"/>
      <c r="R23" s="354"/>
      <c r="S23" s="354"/>
      <c r="T23" s="354"/>
      <c r="U23" s="354"/>
      <c r="V23" s="354"/>
      <c r="W23" s="354"/>
      <c r="X23" s="354"/>
      <c r="Y23" s="354"/>
      <c r="Z23" s="354"/>
      <c r="AA23" s="354"/>
      <c r="AB23" s="354"/>
      <c r="AC23" s="354"/>
      <c r="AD23" s="354"/>
      <c r="AE23" s="354"/>
      <c r="AF23" s="354"/>
      <c r="AG23" s="354"/>
      <c r="AH23" s="354"/>
      <c r="AI23" s="354"/>
      <c r="AJ23" s="354"/>
      <c r="BL23" s="363"/>
      <c r="BM23" s="363"/>
      <c r="BN23" s="363"/>
      <c r="BO23" s="363"/>
      <c r="BP23" s="363"/>
      <c r="BQ23" s="363"/>
      <c r="BR23" s="363"/>
      <c r="BS23" s="363"/>
      <c r="BT23" s="363"/>
      <c r="BU23" s="363"/>
    </row>
    <row r="24" spans="1:73" x14ac:dyDescent="0.3">
      <c r="A24" s="231" t="s">
        <v>308</v>
      </c>
      <c r="B24" s="361" t="s">
        <v>716</v>
      </c>
      <c r="C24" s="361" t="s">
        <v>384</v>
      </c>
      <c r="D24" s="354" t="s">
        <v>1893</v>
      </c>
      <c r="E24" s="360" t="str">
        <f t="shared" si="0"/>
        <v>Every open managed body of water should be actively guarded at all times by at least one certified lifeguard.</v>
      </c>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c r="AH24" s="354"/>
      <c r="AI24" s="354"/>
      <c r="AJ24" s="354"/>
      <c r="BL24" s="363"/>
      <c r="BM24" s="363"/>
      <c r="BN24" s="363"/>
      <c r="BO24" s="363"/>
      <c r="BP24" s="363"/>
      <c r="BQ24" s="363"/>
      <c r="BR24" s="363"/>
      <c r="BS24" s="363"/>
      <c r="BT24" s="363"/>
      <c r="BU24" s="363"/>
    </row>
    <row r="25" spans="1:73" x14ac:dyDescent="0.3">
      <c r="A25" s="231" t="s">
        <v>21</v>
      </c>
      <c r="B25" s="361" t="s">
        <v>717</v>
      </c>
      <c r="C25" s="361" t="s">
        <v>382</v>
      </c>
      <c r="D25" s="354" t="s">
        <v>1768</v>
      </c>
      <c r="E25" s="360" t="str">
        <f t="shared" si="0"/>
        <v>1) On-duty lifeguards should always be rescue ready, i.e., identified by shirt, with rescue tube, PPE, and whistle on their person. 2) On-duty lifeguards should be able to see their entire area of responsibility from their position in an elevated chair or on the deck. 3) There are no standard height chairs available for lifeguard use.</v>
      </c>
      <c r="F25" s="231" t="s">
        <v>389</v>
      </c>
    </row>
    <row r="26" spans="1:73" x14ac:dyDescent="0.3">
      <c r="A26" s="231" t="s">
        <v>309</v>
      </c>
      <c r="B26" s="361" t="s">
        <v>717</v>
      </c>
      <c r="C26" s="361" t="s">
        <v>383</v>
      </c>
      <c r="D26" s="354" t="s">
        <v>1768</v>
      </c>
      <c r="E26" s="360" t="str">
        <f t="shared" si="0"/>
        <v>1) On-duty lifeguards should always be rescue ready, i.e., identified by shirt, with rescue tube, PPE, and whistle on their person. 2) On-duty lifeguards should be able to see their entire area of responsibility from their position in an elevated chair or on the deck. 3) There are no standard height chairs available for lifeguard use.</v>
      </c>
      <c r="F26" s="231" t="s">
        <v>389</v>
      </c>
    </row>
    <row r="27" spans="1:73" x14ac:dyDescent="0.3">
      <c r="A27" s="231" t="s">
        <v>27</v>
      </c>
      <c r="B27" s="361" t="s">
        <v>718</v>
      </c>
      <c r="C27" s="361" t="s">
        <v>382</v>
      </c>
      <c r="D27" s="354" t="s">
        <v>1769</v>
      </c>
      <c r="E27" s="360" t="str">
        <f t="shared" si="0"/>
        <v>1) Lifeguards should not be involved in any personal activities that might distract them from their scanning duties. 2) A protocol should be implemented to hold lifeguards accountable for undesirable behavior.</v>
      </c>
      <c r="F27" s="231" t="s">
        <v>389</v>
      </c>
    </row>
    <row r="28" spans="1:73" x14ac:dyDescent="0.3">
      <c r="A28" s="231" t="s">
        <v>310</v>
      </c>
      <c r="B28" s="361" t="s">
        <v>718</v>
      </c>
      <c r="C28" s="361" t="s">
        <v>383</v>
      </c>
      <c r="D28" s="354" t="s">
        <v>1769</v>
      </c>
      <c r="E28" s="360" t="str">
        <f t="shared" si="0"/>
        <v>1) Lifeguards should not be involved in any personal activities that might distract them from their scanning duties. 2) A protocol should be implemented to hold lifeguards accountable for undesirable behavior.</v>
      </c>
      <c r="F28" s="231" t="s">
        <v>389</v>
      </c>
    </row>
    <row r="29" spans="1:73" x14ac:dyDescent="0.3">
      <c r="A29" s="256" t="s">
        <v>33</v>
      </c>
      <c r="B29" s="361" t="s">
        <v>719</v>
      </c>
      <c r="C29" s="361" t="s">
        <v>382</v>
      </c>
      <c r="D29" s="354" t="s">
        <v>1770</v>
      </c>
      <c r="E29" s="360" t="str">
        <f t="shared" si="0"/>
        <v>1) Every lifeguard can explain the meaning of scanning in an aquatic setting. 2) The 10/10 or 10/20 rule is familiar to the guards and is the clearly stated policy of the association.</v>
      </c>
      <c r="F29" s="231" t="s">
        <v>389</v>
      </c>
    </row>
    <row r="30" spans="1:73" x14ac:dyDescent="0.3">
      <c r="A30" s="256" t="s">
        <v>311</v>
      </c>
      <c r="B30" s="361" t="s">
        <v>719</v>
      </c>
      <c r="C30" s="361" t="s">
        <v>383</v>
      </c>
      <c r="D30" s="354" t="s">
        <v>1770</v>
      </c>
      <c r="E30" s="360" t="str">
        <f t="shared" si="0"/>
        <v>1) Every lifeguard can explain the meaning of scanning in an aquatic setting. 2) The 10/10 or 10/20 rule is familiar to the guards and is the clearly stated policy of the association.</v>
      </c>
      <c r="F30" s="231" t="s">
        <v>389</v>
      </c>
    </row>
    <row r="31" spans="1:73" x14ac:dyDescent="0.3">
      <c r="A31" s="256" t="s">
        <v>38</v>
      </c>
      <c r="B31" s="361" t="s">
        <v>720</v>
      </c>
      <c r="C31" s="361" t="s">
        <v>677</v>
      </c>
      <c r="D31" s="354" t="s">
        <v>1771</v>
      </c>
      <c r="E31" s="360" t="str">
        <f t="shared" si="0"/>
        <v>All children who do not pass the swim test or who refuse to be tested 1) should be required to wear a US Coast Guard approved Personal Flotation Device (PFD) and 2) should have a caregiver close enough to control or stop activity when necessary (i.e., in the water no more than three of the child’s body lengths from the child.</v>
      </c>
    </row>
    <row r="32" spans="1:73" x14ac:dyDescent="0.3">
      <c r="A32" s="256" t="s">
        <v>39</v>
      </c>
      <c r="B32" s="361" t="s">
        <v>720</v>
      </c>
      <c r="C32" s="361" t="s">
        <v>382</v>
      </c>
      <c r="D32" s="231" t="s">
        <v>1894</v>
      </c>
      <c r="E32" s="360" t="str">
        <f t="shared" si="0"/>
        <v>1) Every unknown child should be swim tested.  2) All children should be visibly marked before being allowed into the water (except during swim lessons or competitive events where ability has been already validated).  3) Non-swimming children should be allowed in areas of water where the maximum depth is above their nipple line only when a caregiver is close enough to control or stop activity when necessary (defined as no more than one of the child’s body lengths if the child is not wearing a PFD).  4) All children using entry devices should also pass the manufacturer’s suggested size requirement.</v>
      </c>
      <c r="F32" s="231" t="s">
        <v>389</v>
      </c>
    </row>
    <row r="33" spans="1:6" x14ac:dyDescent="0.3">
      <c r="A33" s="256" t="s">
        <v>312</v>
      </c>
      <c r="B33" s="361" t="s">
        <v>720</v>
      </c>
      <c r="C33" s="361" t="s">
        <v>383</v>
      </c>
      <c r="D33" s="231" t="s">
        <v>1894</v>
      </c>
      <c r="E33" s="360" t="str">
        <f t="shared" si="0"/>
        <v>1) Every unknown child should be swim tested.  2) All children should be visibly marked before being allowed into the water (except during swim lessons or competitive events where ability has been already validated).  3) Non-swimming children should be allowed in areas of water where the maximum depth is above their nipple line only when a caregiver is close enough to control or stop activity when necessary (defined as no more than one of the child’s body lengths if the child is not wearing a PFD).  4) All children using entry devices should also pass the manufacturer’s suggested size requirement.</v>
      </c>
      <c r="F33" s="231" t="s">
        <v>389</v>
      </c>
    </row>
    <row r="34" spans="1:6" x14ac:dyDescent="0.3">
      <c r="A34" s="256" t="s">
        <v>45</v>
      </c>
      <c r="B34" s="361" t="s">
        <v>721</v>
      </c>
      <c r="C34" s="361" t="s">
        <v>382</v>
      </c>
      <c r="D34" s="354" t="s">
        <v>1772</v>
      </c>
      <c r="E34" s="360" t="str">
        <f t="shared" si="0"/>
        <v>1) Lifeguards should not be scheduled for scanning duties for more than exceed two hours without at least a 10-minute break.  2) A qualified replacement should be available for temporary biological or emergency breaks the lifeguard may need.</v>
      </c>
      <c r="F34" s="231" t="s">
        <v>389</v>
      </c>
    </row>
    <row r="35" spans="1:6" x14ac:dyDescent="0.3">
      <c r="A35" s="256" t="s">
        <v>46</v>
      </c>
      <c r="B35" s="361" t="s">
        <v>721</v>
      </c>
      <c r="C35" s="361" t="s">
        <v>383</v>
      </c>
      <c r="D35" s="354" t="s">
        <v>1772</v>
      </c>
      <c r="E35" s="360" t="str">
        <f t="shared" si="0"/>
        <v>1) Lifeguards should not be scheduled for scanning duties for more than exceed two hours without at least a 10-minute break.  2) A qualified replacement should be available for temporary biological or emergency breaks the lifeguard may need.</v>
      </c>
      <c r="F35" s="231" t="s">
        <v>389</v>
      </c>
    </row>
    <row r="36" spans="1:6" x14ac:dyDescent="0.3">
      <c r="A36" s="256" t="s">
        <v>317</v>
      </c>
      <c r="B36" s="361" t="s">
        <v>722</v>
      </c>
      <c r="C36" s="361" t="s">
        <v>382</v>
      </c>
      <c r="D36" s="354" t="s">
        <v>1773</v>
      </c>
      <c r="E36" s="360" t="str">
        <f t="shared" si="0"/>
        <v>1) The front desk staff should be aware of their role in an aquatic emergency and should be included in aquatic emergency drills. 2)  The emergency response should be initiated directly from the managed body of water area using non-verbal auditory technology (i.e., horn, buzzer, etc.) instead of a telephone or walkie-talkie (an additional visual display is acceptable).</v>
      </c>
      <c r="F36" s="231" t="s">
        <v>389</v>
      </c>
    </row>
    <row r="37" spans="1:6" x14ac:dyDescent="0.3">
      <c r="A37" s="256" t="s">
        <v>318</v>
      </c>
      <c r="B37" s="361" t="s">
        <v>722</v>
      </c>
      <c r="C37" s="361" t="s">
        <v>383</v>
      </c>
      <c r="D37" s="354" t="s">
        <v>1773</v>
      </c>
      <c r="E37" s="360" t="str">
        <f t="shared" si="0"/>
        <v>1) The front desk staff should be aware of their role in an aquatic emergency and should be included in aquatic emergency drills. 2)  The emergency response should be initiated directly from the managed body of water area using non-verbal auditory technology (i.e., horn, buzzer, etc.) instead of a telephone or walkie-talkie (an additional visual display is acceptable).</v>
      </c>
      <c r="F37" s="231" t="s">
        <v>389</v>
      </c>
    </row>
    <row r="38" spans="1:6" x14ac:dyDescent="0.3">
      <c r="A38" s="256" t="s">
        <v>323</v>
      </c>
      <c r="B38" s="361" t="s">
        <v>724</v>
      </c>
      <c r="C38" s="361" t="s">
        <v>382</v>
      </c>
      <c r="D38" s="354" t="s">
        <v>753</v>
      </c>
      <c r="E38" s="360" t="str">
        <f t="shared" si="0"/>
        <v>An Aquatic Quick Check card or some other documented reporting system be implemented to provide feedback on guards' behavior.</v>
      </c>
      <c r="F38" s="231" t="s">
        <v>389</v>
      </c>
    </row>
    <row r="39" spans="1:6" x14ac:dyDescent="0.3">
      <c r="A39" s="256" t="s">
        <v>324</v>
      </c>
      <c r="B39" s="361" t="s">
        <v>724</v>
      </c>
      <c r="C39" s="361" t="s">
        <v>383</v>
      </c>
      <c r="D39" s="354" t="s">
        <v>753</v>
      </c>
      <c r="E39" s="360" t="str">
        <f t="shared" si="0"/>
        <v>An Aquatic Quick Check card or some other documented reporting system be implemented to provide feedback on guards' behavior.</v>
      </c>
      <c r="F39" s="231" t="s">
        <v>389</v>
      </c>
    </row>
    <row r="40" spans="1:6" x14ac:dyDescent="0.3">
      <c r="A40" s="256" t="s">
        <v>329</v>
      </c>
      <c r="B40" s="361" t="s">
        <v>725</v>
      </c>
      <c r="C40" s="361" t="s">
        <v>382</v>
      </c>
      <c r="D40" s="354" t="s">
        <v>754</v>
      </c>
      <c r="E40" s="360" t="str">
        <f t="shared" si="0"/>
        <v>Lifeguards should be required to participate in at least two hours of documented in-service training each month that the pool is open. An established training plan should be set for the year, but additional topics can be inserted as needed.</v>
      </c>
      <c r="F40" s="231" t="s">
        <v>389</v>
      </c>
    </row>
    <row r="41" spans="1:6" x14ac:dyDescent="0.3">
      <c r="A41" s="256" t="s">
        <v>330</v>
      </c>
      <c r="B41" s="361" t="s">
        <v>725</v>
      </c>
      <c r="C41" s="361" t="s">
        <v>383</v>
      </c>
      <c r="D41" s="354" t="s">
        <v>754</v>
      </c>
      <c r="E41" s="360" t="str">
        <f t="shared" si="0"/>
        <v>Lifeguards should be required to participate in at least two hours of documented in-service training each month that the pool is open. An established training plan should be set for the year, but additional topics can be inserted as needed.</v>
      </c>
      <c r="F41" s="231" t="s">
        <v>389</v>
      </c>
    </row>
    <row r="42" spans="1:6" x14ac:dyDescent="0.3">
      <c r="A42" s="365" t="s">
        <v>335</v>
      </c>
      <c r="B42" s="361" t="s">
        <v>726</v>
      </c>
      <c r="C42" s="361" t="s">
        <v>382</v>
      </c>
      <c r="D42" s="354" t="s">
        <v>1774</v>
      </c>
      <c r="E42" s="360" t="str">
        <f t="shared" si="0"/>
        <v>1) Pool ladders should be securely anchored; drains should not pose entrapment hazards; depth markers should be clearly visible; the center drain should be visible from the surface; the deck should be free of slip/fall hazards.  2) A section of the pool that is no deeper than 48” should be defined by floating rope or similar physical distinction.  3) The deck should be wide enough to allow guarding and victim extrication from all sides; the pool decking should have slip resistant materials or coatings.</v>
      </c>
      <c r="F42" s="231" t="s">
        <v>389</v>
      </c>
    </row>
    <row r="43" spans="1:6" x14ac:dyDescent="0.3">
      <c r="A43" s="365" t="s">
        <v>336</v>
      </c>
      <c r="B43" s="361" t="s">
        <v>726</v>
      </c>
      <c r="C43" s="361" t="s">
        <v>383</v>
      </c>
      <c r="D43" s="354" t="s">
        <v>1774</v>
      </c>
      <c r="E43" s="360" t="str">
        <f t="shared" si="0"/>
        <v>1) Pool ladders should be securely anchored; drains should not pose entrapment hazards; depth markers should be clearly visible; the center drain should be visible from the surface; the deck should be free of slip/fall hazards.  2) A section of the pool that is no deeper than 48” should be defined by floating rope or similar physical distinction.  3) The deck should be wide enough to allow guarding and victim extrication from all sides; the pool decking should have slip resistant materials or coatings.</v>
      </c>
      <c r="F43" s="231" t="s">
        <v>389</v>
      </c>
    </row>
    <row r="44" spans="1:6" x14ac:dyDescent="0.3">
      <c r="A44" s="256" t="s">
        <v>341</v>
      </c>
      <c r="B44" s="361" t="s">
        <v>727</v>
      </c>
      <c r="C44" s="361" t="s">
        <v>382</v>
      </c>
      <c r="D44" s="354" t="s">
        <v>1775</v>
      </c>
      <c r="E44" s="360" t="str">
        <f t="shared" si="0"/>
        <v>1) Lifeguard, CPR, and first aid certifications should be current and should be accepted only from nationally accredited agencies. 2)  New employees should receive a facility orientation that includes the emergency action plan; lifeguard, CPR, and first aid skills should be tested and approved prior to the individual's first lifeguarding shift.</v>
      </c>
      <c r="F44" s="231" t="s">
        <v>389</v>
      </c>
    </row>
    <row r="45" spans="1:6" x14ac:dyDescent="0.3">
      <c r="A45" s="256" t="s">
        <v>342</v>
      </c>
      <c r="B45" s="361" t="s">
        <v>727</v>
      </c>
      <c r="C45" s="361" t="s">
        <v>383</v>
      </c>
      <c r="D45" s="354" t="s">
        <v>1775</v>
      </c>
      <c r="E45" s="360" t="str">
        <f t="shared" si="0"/>
        <v>1) Lifeguard, CPR, and first aid certifications should be current and should be accepted only from nationally accredited agencies. 2)  New employees should receive a facility orientation that includes the emergency action plan; lifeguard, CPR, and first aid skills should be tested and approved prior to the individual's first lifeguarding shift.</v>
      </c>
      <c r="F45" s="231" t="s">
        <v>389</v>
      </c>
    </row>
    <row r="46" spans="1:6" x14ac:dyDescent="0.3">
      <c r="A46" s="256" t="s">
        <v>347</v>
      </c>
      <c r="B46" s="361" t="s">
        <v>728</v>
      </c>
      <c r="C46" s="361" t="s">
        <v>382</v>
      </c>
      <c r="D46" s="354" t="s">
        <v>1776</v>
      </c>
      <c r="E46" s="360" t="str">
        <f t="shared" si="0"/>
        <v>1) All required certifications should be documented before an individual is used as a lifeguard.  2) A staff person should be specifically responsible for aquatics at each branch.  3) Copies of all required certifications (e.g., lifeguard, CPR, first aid, and any others mandated by local or state ordinance) should be on file and available for review.</v>
      </c>
      <c r="F46" s="231" t="s">
        <v>389</v>
      </c>
    </row>
    <row r="47" spans="1:6" x14ac:dyDescent="0.3">
      <c r="A47" s="256" t="s">
        <v>348</v>
      </c>
      <c r="B47" s="361" t="s">
        <v>728</v>
      </c>
      <c r="C47" s="361" t="s">
        <v>383</v>
      </c>
      <c r="D47" s="354" t="s">
        <v>1776</v>
      </c>
      <c r="E47" s="360" t="str">
        <f t="shared" si="0"/>
        <v>1) All required certifications should be documented before an individual is used as a lifeguard.  2) A staff person should be specifically responsible for aquatics at each branch.  3) Copies of all required certifications (e.g., lifeguard, CPR, first aid, and any others mandated by local or state ordinance) should be on file and available for review.</v>
      </c>
      <c r="F47" s="231" t="s">
        <v>389</v>
      </c>
    </row>
    <row r="48" spans="1:6" x14ac:dyDescent="0.3">
      <c r="A48" s="256" t="s">
        <v>53</v>
      </c>
      <c r="B48" s="361" t="s">
        <v>729</v>
      </c>
      <c r="C48" s="361" t="s">
        <v>382</v>
      </c>
      <c r="D48" s="354" t="s">
        <v>1777</v>
      </c>
      <c r="E48" s="360" t="str">
        <f t="shared" si="0"/>
        <v>1) All drivers should be at least 20 years old and should have a minimum of two years of driving experience. 2) A current MVR should be evaluated before hiring or placing into a driving position.</v>
      </c>
      <c r="F48" s="231" t="s">
        <v>389</v>
      </c>
    </row>
    <row r="49" spans="1:6" x14ac:dyDescent="0.3">
      <c r="A49" s="256" t="s">
        <v>356</v>
      </c>
      <c r="B49" s="361" t="s">
        <v>729</v>
      </c>
      <c r="C49" s="361" t="s">
        <v>383</v>
      </c>
      <c r="D49" s="354" t="s">
        <v>1777</v>
      </c>
      <c r="E49" s="360" t="str">
        <f t="shared" si="0"/>
        <v>1) All drivers should be at least 20 years old and should have a minimum of two years of driving experience. 2) A current MVR should be evaluated before hiring or placing into a driving position.</v>
      </c>
      <c r="F49" s="231" t="s">
        <v>389</v>
      </c>
    </row>
    <row r="50" spans="1:6" x14ac:dyDescent="0.3">
      <c r="A50" s="256" t="s">
        <v>59</v>
      </c>
      <c r="B50" s="361" t="s">
        <v>730</v>
      </c>
      <c r="C50" s="361" t="s">
        <v>382</v>
      </c>
      <c r="D50" s="354" t="s">
        <v>1778</v>
      </c>
      <c r="E50" s="360" t="str">
        <f t="shared" si="0"/>
        <v>1) All drivers should receive a generalized driver training plus specific hands-on orientation for each of the types of vehicles that the driver will use. 2) A policy of never renting or hiring 15-passenger vans should be communicated to all employees at time of hire with annual reminders. 3) Initial road tests should be given and documented for all drivers. 4) All drivers of association owned, rented, or leased vehicles should participate in a documented  defensive driving course (e.g., Back to Basics, DDC, or equivalent) at least every 3 years.</v>
      </c>
      <c r="F50" s="231" t="s">
        <v>389</v>
      </c>
    </row>
    <row r="51" spans="1:6" x14ac:dyDescent="0.3">
      <c r="A51" s="256" t="s">
        <v>357</v>
      </c>
      <c r="B51" s="361" t="s">
        <v>730</v>
      </c>
      <c r="C51" s="361" t="s">
        <v>383</v>
      </c>
      <c r="D51" s="354" t="s">
        <v>1778</v>
      </c>
      <c r="E51" s="360" t="str">
        <f t="shared" si="0"/>
        <v>1) All drivers should receive a generalized driver training plus specific hands-on orientation for each of the types of vehicles that the driver will use. 2) A policy of never renting or hiring 15-passenger vans should be communicated to all employees at time of hire with annual reminders. 3) Initial road tests should be given and documented for all drivers. 4) All drivers of association owned, rented, or leased vehicles should participate in a documented  defensive driving course (e.g., Back to Basics, DDC, or equivalent) at least every 3 years.</v>
      </c>
      <c r="F51" s="231" t="s">
        <v>389</v>
      </c>
    </row>
    <row r="52" spans="1:6" x14ac:dyDescent="0.3">
      <c r="A52" s="256" t="s">
        <v>64</v>
      </c>
      <c r="B52" s="361" t="s">
        <v>732</v>
      </c>
      <c r="C52" s="361" t="s">
        <v>382</v>
      </c>
      <c r="D52" s="354" t="s">
        <v>1779</v>
      </c>
      <c r="E52" s="360" t="str">
        <f t="shared" si="0"/>
        <v>1) A policy that prohibits transporting program participants in vehicles not owned, leased, or rented by the YMCA should be implemented. 2) All drivers should be required to agree that they will only use vehicles having current liability insurance while on YMCA business (verification or documentation is not required).</v>
      </c>
      <c r="F52" s="231" t="s">
        <v>389</v>
      </c>
    </row>
    <row r="53" spans="1:6" x14ac:dyDescent="0.3">
      <c r="A53" s="256" t="s">
        <v>65</v>
      </c>
      <c r="B53" s="361" t="s">
        <v>732</v>
      </c>
      <c r="C53" s="361" t="s">
        <v>383</v>
      </c>
      <c r="D53" s="354" t="s">
        <v>1779</v>
      </c>
      <c r="E53" s="360" t="str">
        <f t="shared" si="0"/>
        <v>1) A policy that prohibits transporting program participants in vehicles not owned, leased, or rented by the YMCA should be implemented. 2) All drivers should be required to agree that they will only use vehicles having current liability insurance while on YMCA business (verification or documentation is not required).</v>
      </c>
      <c r="F53" s="231" t="s">
        <v>389</v>
      </c>
    </row>
    <row r="54" spans="1:6" x14ac:dyDescent="0.3">
      <c r="A54" s="256" t="s">
        <v>265</v>
      </c>
      <c r="B54" s="361" t="s">
        <v>733</v>
      </c>
      <c r="C54" s="361" t="s">
        <v>382</v>
      </c>
      <c r="D54" s="354" t="s">
        <v>751</v>
      </c>
      <c r="E54" s="360" t="str">
        <f t="shared" si="0"/>
        <v>People should only be transported in full-sized or mini-school buses, mini-vans, or cars regardless of who owns the vehicle (i.e., whether it is owned, leased, rented, or borrowed); mini-buses without dual rear wheels on each side of the vehicle should only be used at speeds of  45 mph or slower.</v>
      </c>
      <c r="F54" s="231" t="s">
        <v>389</v>
      </c>
    </row>
    <row r="55" spans="1:6" x14ac:dyDescent="0.3">
      <c r="A55" s="256" t="s">
        <v>266</v>
      </c>
      <c r="B55" s="361" t="s">
        <v>733</v>
      </c>
      <c r="C55" s="361" t="s">
        <v>383</v>
      </c>
      <c r="D55" s="354" t="s">
        <v>751</v>
      </c>
      <c r="E55" s="360" t="str">
        <f t="shared" si="0"/>
        <v>People should only be transported in full-sized or mini-school buses, mini-vans, or cars regardless of who owns the vehicle (i.e., whether it is owned, leased, rented, or borrowed); mini-buses without dual rear wheels on each side of the vehicle should only be used at speeds of  45 mph or slower.</v>
      </c>
      <c r="F55" s="231" t="s">
        <v>389</v>
      </c>
    </row>
    <row r="56" spans="1:6" x14ac:dyDescent="0.3">
      <c r="A56" s="256" t="s">
        <v>272</v>
      </c>
      <c r="B56" s="361" t="s">
        <v>734</v>
      </c>
      <c r="C56" s="361" t="s">
        <v>382</v>
      </c>
      <c r="D56" s="354" t="s">
        <v>752</v>
      </c>
      <c r="E56" s="360" t="str">
        <f t="shared" si="0"/>
        <v>Documented service that meets manufacturer’s guidelines and applicable statutes plus safety inspections that meet all applicable statutes (e.g., annual safety check) should be implemented.</v>
      </c>
      <c r="F56" s="231" t="s">
        <v>389</v>
      </c>
    </row>
    <row r="57" spans="1:6" x14ac:dyDescent="0.3">
      <c r="A57" s="256" t="s">
        <v>358</v>
      </c>
      <c r="B57" s="361" t="s">
        <v>734</v>
      </c>
      <c r="C57" s="361" t="s">
        <v>383</v>
      </c>
      <c r="D57" s="354" t="s">
        <v>752</v>
      </c>
      <c r="E57" s="360" t="str">
        <f t="shared" si="0"/>
        <v>Documented service that meets manufacturer’s guidelines and applicable statutes plus safety inspections that meet all applicable statutes (e.g., annual safety check) should be implemented.</v>
      </c>
      <c r="F57" s="231" t="s">
        <v>389</v>
      </c>
    </row>
    <row r="58" spans="1:6" x14ac:dyDescent="0.3">
      <c r="A58" s="256" t="s">
        <v>277</v>
      </c>
      <c r="B58" s="361" t="s">
        <v>736</v>
      </c>
      <c r="C58" s="361" t="s">
        <v>382</v>
      </c>
      <c r="D58" s="366" t="s">
        <v>750</v>
      </c>
      <c r="E58" s="360" t="str">
        <f t="shared" si="0"/>
        <v>All adult guests should be required to sign assumption of risk and informed consent agreements; their identities should be verified using government or school issued photo ID.</v>
      </c>
      <c r="F58" s="231" t="s">
        <v>389</v>
      </c>
    </row>
    <row r="59" spans="1:6" x14ac:dyDescent="0.3">
      <c r="A59" s="256" t="s">
        <v>756</v>
      </c>
      <c r="B59" s="361" t="s">
        <v>736</v>
      </c>
      <c r="C59" s="361" t="s">
        <v>747</v>
      </c>
      <c r="D59" s="366" t="s">
        <v>749</v>
      </c>
      <c r="E59" s="360" t="str">
        <f t="shared" si="0"/>
        <v>All adult guests should be required to sign a waiver / release of rights / covenant not to sue document; their identities should be verified using government or school issued ID.</v>
      </c>
    </row>
    <row r="60" spans="1:6" x14ac:dyDescent="0.3">
      <c r="A60" s="256" t="s">
        <v>278</v>
      </c>
      <c r="B60" s="361" t="s">
        <v>736</v>
      </c>
      <c r="C60" s="361" t="s">
        <v>383</v>
      </c>
      <c r="D60" s="366" t="s">
        <v>750</v>
      </c>
      <c r="E60" s="360" t="str">
        <f t="shared" si="0"/>
        <v>All adult guests should be required to sign assumption of risk and informed consent agreements; their identities should be verified using government or school issued photo ID.</v>
      </c>
      <c r="F60" s="231" t="s">
        <v>389</v>
      </c>
    </row>
    <row r="61" spans="1:6" x14ac:dyDescent="0.3">
      <c r="A61" s="256" t="s">
        <v>757</v>
      </c>
      <c r="B61" s="361" t="s">
        <v>736</v>
      </c>
      <c r="C61" s="361" t="s">
        <v>748</v>
      </c>
      <c r="D61" s="366" t="s">
        <v>749</v>
      </c>
      <c r="E61" s="360" t="str">
        <f t="shared" si="0"/>
        <v>All adult guests should be required to sign a waiver / release of rights / covenant not to sue document; their identities should be verified using government or school issued ID.</v>
      </c>
    </row>
    <row r="62" spans="1:6" x14ac:dyDescent="0.3">
      <c r="A62" s="256" t="s">
        <v>283</v>
      </c>
      <c r="B62" s="361" t="s">
        <v>737</v>
      </c>
      <c r="C62" s="361" t="s">
        <v>382</v>
      </c>
      <c r="D62" s="354" t="s">
        <v>743</v>
      </c>
      <c r="E62" s="360" t="str">
        <f t="shared" si="0"/>
        <v>Any binding agreements should be in writing and all such contracts should be previewed by the manager of the branch involved.</v>
      </c>
      <c r="F62" s="231" t="s">
        <v>389</v>
      </c>
    </row>
    <row r="63" spans="1:6" x14ac:dyDescent="0.3">
      <c r="A63" s="256" t="s">
        <v>196</v>
      </c>
      <c r="B63" s="361" t="s">
        <v>737</v>
      </c>
      <c r="C63" s="361" t="s">
        <v>383</v>
      </c>
      <c r="D63" s="354" t="s">
        <v>743</v>
      </c>
      <c r="E63" s="360" t="str">
        <f t="shared" si="0"/>
        <v>Any binding agreements should be in writing and all such contracts should be previewed by the manager of the branch involved.</v>
      </c>
      <c r="F63" s="231" t="s">
        <v>389</v>
      </c>
    </row>
    <row r="64" spans="1:6" x14ac:dyDescent="0.3">
      <c r="A64" s="256" t="s">
        <v>366</v>
      </c>
      <c r="B64" s="361" t="s">
        <v>190</v>
      </c>
      <c r="C64" s="361" t="s">
        <v>382</v>
      </c>
      <c r="D64" s="354" t="s">
        <v>744</v>
      </c>
      <c r="E64" s="360" t="str">
        <f t="shared" si="0"/>
        <v>Emergency oxygen should be maintained on all pool decks and all aquatic staff members should receive certification in emergency oxygen administration.</v>
      </c>
      <c r="F64" s="231" t="s">
        <v>389</v>
      </c>
    </row>
    <row r="65" spans="1:6" x14ac:dyDescent="0.3">
      <c r="A65" s="256" t="s">
        <v>1366</v>
      </c>
      <c r="B65" s="361" t="s">
        <v>190</v>
      </c>
      <c r="C65" s="361" t="s">
        <v>383</v>
      </c>
      <c r="D65" s="354" t="s">
        <v>744</v>
      </c>
      <c r="E65" s="360" t="str">
        <f t="shared" si="0"/>
        <v>Emergency oxygen should be maintained on all pool decks and all aquatic staff members should receive certification in emergency oxygen administration.</v>
      </c>
      <c r="F65" s="231" t="s">
        <v>389</v>
      </c>
    </row>
    <row r="66" spans="1:6" x14ac:dyDescent="0.3">
      <c r="A66" s="256" t="s">
        <v>371</v>
      </c>
      <c r="B66" s="361" t="s">
        <v>723</v>
      </c>
      <c r="C66" s="361" t="s">
        <v>382</v>
      </c>
      <c r="D66" s="354" t="s">
        <v>745</v>
      </c>
      <c r="E66" s="360" t="str">
        <f t="shared" si="0"/>
        <v xml:space="preserve">An AED should be maintained in a central, clearly identified, easily accessible location in the facility. A documented record should be maintained to verify appropriate, timely, routine maintenance. </v>
      </c>
      <c r="F66" s="231" t="s">
        <v>389</v>
      </c>
    </row>
    <row r="67" spans="1:6" x14ac:dyDescent="0.3">
      <c r="A67" s="256" t="s">
        <v>1368</v>
      </c>
      <c r="B67" s="361" t="s">
        <v>723</v>
      </c>
      <c r="C67" s="361" t="s">
        <v>383</v>
      </c>
      <c r="D67" s="354" t="s">
        <v>745</v>
      </c>
      <c r="E67" s="360" t="str">
        <f t="shared" si="0"/>
        <v xml:space="preserve">An AED should be maintained in a central, clearly identified, easily accessible location in the facility. A documented record should be maintained to verify appropriate, timely, routine maintenance. </v>
      </c>
      <c r="F67" s="231" t="s">
        <v>389</v>
      </c>
    </row>
    <row r="68" spans="1:6" x14ac:dyDescent="0.3">
      <c r="A68" s="256" t="s">
        <v>375</v>
      </c>
      <c r="B68" s="362" t="s">
        <v>612</v>
      </c>
      <c r="C68" s="361" t="s">
        <v>382</v>
      </c>
      <c r="D68" s="354" t="s">
        <v>1780</v>
      </c>
      <c r="E68" s="360" t="str">
        <f t="shared" ref="E68:E73" si="1">D68</f>
        <v>1) Any sauna that is inside a building and does not have an infra-red heat source should (a) be provided with automatic sprinkler protection using a high-temperature head; (b) have any wood that shows signs of pyrolytic decomposition charring) replaced. 2) Staff should check on individuals who are in the sauna at least every 30 minutes.</v>
      </c>
      <c r="F68" s="231" t="s">
        <v>389</v>
      </c>
    </row>
    <row r="69" spans="1:6" x14ac:dyDescent="0.3">
      <c r="A69" s="256" t="s">
        <v>376</v>
      </c>
      <c r="B69" s="362" t="s">
        <v>612</v>
      </c>
      <c r="C69" s="361" t="s">
        <v>383</v>
      </c>
      <c r="D69" s="354" t="s">
        <v>1780</v>
      </c>
      <c r="E69" s="360" t="str">
        <f t="shared" si="1"/>
        <v>1) Any sauna that is inside a building and does not have an infra-red heat source should (a) be provided with automatic sprinkler protection using a high-temperature head; (b) have any wood that shows signs of pyrolytic decomposition charring) replaced. 2) Staff should check on individuals who are in the sauna at least every 30 minutes.</v>
      </c>
      <c r="F69" s="231" t="s">
        <v>389</v>
      </c>
    </row>
    <row r="70" spans="1:6" x14ac:dyDescent="0.3">
      <c r="A70" s="256" t="s">
        <v>380</v>
      </c>
      <c r="B70" s="361" t="s">
        <v>731</v>
      </c>
      <c r="C70" s="361" t="s">
        <v>382</v>
      </c>
      <c r="D70" s="354" t="s">
        <v>746</v>
      </c>
      <c r="E70" s="360" t="str">
        <f t="shared" si="1"/>
        <v>A written, signed drug-free workplace policy that includes DOT-compatible testing of any CDL drivers should be implemented. A sample policy is enclosed.</v>
      </c>
      <c r="F70" s="231" t="s">
        <v>389</v>
      </c>
    </row>
    <row r="71" spans="1:6" x14ac:dyDescent="0.3">
      <c r="A71" s="256" t="s">
        <v>381</v>
      </c>
      <c r="B71" s="361" t="s">
        <v>731</v>
      </c>
      <c r="C71" s="361" t="s">
        <v>383</v>
      </c>
      <c r="D71" s="354" t="s">
        <v>746</v>
      </c>
      <c r="E71" s="360" t="str">
        <f t="shared" si="1"/>
        <v>A written, signed drug-free workplace policy that includes DOT-compatible testing of any CDL drivers should be implemented. A sample policy is enclosed.</v>
      </c>
      <c r="F71" s="231" t="s">
        <v>389</v>
      </c>
    </row>
    <row r="72" spans="1:6" x14ac:dyDescent="0.3">
      <c r="A72" s="256" t="s">
        <v>1957</v>
      </c>
      <c r="B72" s="361" t="s">
        <v>1924</v>
      </c>
      <c r="C72" s="361" t="s">
        <v>382</v>
      </c>
      <c r="D72" s="354" t="s">
        <v>1958</v>
      </c>
      <c r="E72" s="360" t="str">
        <f t="shared" si="1"/>
        <v>The residence facility should a) monitor access to the living floors 24/7;  b) perform CBCs and/or reference checks of all resident applicants;  c) have at least weekly maid service in every living unit . OR  The other entity that operates the residence facility should a)  provide a COI with a named insured endorsement; b)  have at least weekly maid service in every living unit.</v>
      </c>
    </row>
    <row r="73" spans="1:6" x14ac:dyDescent="0.3">
      <c r="A73" s="256" t="s">
        <v>1957</v>
      </c>
      <c r="B73" s="361" t="s">
        <v>1924</v>
      </c>
      <c r="C73" s="361" t="s">
        <v>383</v>
      </c>
      <c r="D73" s="354" t="s">
        <v>1958</v>
      </c>
      <c r="E73" s="360" t="str">
        <f t="shared" si="1"/>
        <v>The residence facility should a) monitor access to the living floors 24/7;  b) perform CBCs and/or reference checks of all resident applicants;  c) have at least weekly maid service in every living unit . OR  The other entity that operates the residence facility should a)  provide a COI with a named insured endorsement; b)  have at least weekly maid service in every living unit.</v>
      </c>
    </row>
    <row r="75" spans="1:6" x14ac:dyDescent="0.3">
      <c r="A75" s="358" t="s">
        <v>1910</v>
      </c>
    </row>
    <row r="76" spans="1:6" x14ac:dyDescent="0.3">
      <c r="A76" s="231" t="s">
        <v>162</v>
      </c>
      <c r="B76" s="362" t="s">
        <v>768</v>
      </c>
      <c r="C76" s="231">
        <f>IF(calculations!U65=TRUE, 1,0)</f>
        <v>0</v>
      </c>
      <c r="D76" s="231" t="s">
        <v>817</v>
      </c>
      <c r="E76" s="360" t="str">
        <f>IF(calculations!U65=TRUE,CONCATENATE("(",VALUE(C76),") ",D76),"")</f>
        <v/>
      </c>
    </row>
    <row r="77" spans="1:6" x14ac:dyDescent="0.3">
      <c r="A77" s="231" t="s">
        <v>625</v>
      </c>
      <c r="B77" s="362" t="s">
        <v>769</v>
      </c>
      <c r="C77" s="231">
        <f>IF(calculations!U66=TRUE,1+C76,C76)</f>
        <v>0</v>
      </c>
      <c r="D77" s="231" t="s">
        <v>1895</v>
      </c>
      <c r="E77" s="360" t="str">
        <f>IF(calculations!U66=TRUE,CONCATENATE(E76,"(",VALUE(C77),") ",D77),E76)</f>
        <v/>
      </c>
    </row>
    <row r="78" spans="1:6" x14ac:dyDescent="0.3">
      <c r="A78" s="360" t="s">
        <v>626</v>
      </c>
      <c r="B78" s="362" t="s">
        <v>770</v>
      </c>
      <c r="C78" s="231">
        <f>IF(calculations!U67=TRUE,1+C77,C77)</f>
        <v>0</v>
      </c>
      <c r="D78" s="231" t="s">
        <v>818</v>
      </c>
      <c r="E78" s="360" t="str">
        <f>IF(calculations!U67=TRUE,CONCATENATE(E77,"(",VALUE(C78),") ",D78),E77)</f>
        <v/>
      </c>
    </row>
    <row r="79" spans="1:6" x14ac:dyDescent="0.3">
      <c r="A79" s="360" t="s">
        <v>627</v>
      </c>
      <c r="B79" s="362" t="s">
        <v>771</v>
      </c>
      <c r="C79" s="231">
        <f>IF(calculations!U68=TRUE,1+C78,C78)</f>
        <v>0</v>
      </c>
      <c r="D79" s="231" t="s">
        <v>819</v>
      </c>
      <c r="E79" s="360" t="str">
        <f>IF(calculations!U68=TRUE,CONCATENATE(E78,"(",VALUE(C79),") ",D79),E78)</f>
        <v/>
      </c>
    </row>
    <row r="80" spans="1:6" x14ac:dyDescent="0.3">
      <c r="A80" s="360" t="s">
        <v>628</v>
      </c>
      <c r="B80" s="362" t="s">
        <v>772</v>
      </c>
      <c r="C80" s="231">
        <f>IF(calculations!U69=TRUE,1+C79,C79)</f>
        <v>0</v>
      </c>
      <c r="D80" s="231" t="s">
        <v>820</v>
      </c>
      <c r="E80" s="360" t="str">
        <f>IF(calculations!U69=TRUE,CONCATENATE(E79,"(",VALUE(C80),") ",D80),E79)</f>
        <v/>
      </c>
    </row>
    <row r="81" spans="1:5" x14ac:dyDescent="0.3">
      <c r="A81" s="360" t="s">
        <v>629</v>
      </c>
      <c r="B81" s="362" t="s">
        <v>773</v>
      </c>
      <c r="C81" s="231">
        <f>IF(calculations!U70=TRUE,1+C80,C80)</f>
        <v>0</v>
      </c>
      <c r="D81" s="231" t="s">
        <v>809</v>
      </c>
      <c r="E81" s="360" t="str">
        <f>IF(calculations!U70=TRUE,CONCATENATE(E80,"(",VALUE(C81),") ",D81),E80)</f>
        <v/>
      </c>
    </row>
    <row r="82" spans="1:5" x14ac:dyDescent="0.3">
      <c r="A82" s="360" t="s">
        <v>631</v>
      </c>
      <c r="B82" s="362" t="s">
        <v>774</v>
      </c>
      <c r="C82" s="231">
        <f>IF(calculations!U72=TRUE, 1,0)</f>
        <v>0</v>
      </c>
      <c r="D82" s="231" t="s">
        <v>821</v>
      </c>
      <c r="E82" s="360" t="str">
        <f>IF(calculations!U72=TRUE,CONCATENATE("(",VALUE(C82),") ",D82),"")</f>
        <v/>
      </c>
    </row>
    <row r="83" spans="1:5" x14ac:dyDescent="0.3">
      <c r="A83" s="360" t="s">
        <v>632</v>
      </c>
      <c r="B83" s="362" t="s">
        <v>775</v>
      </c>
      <c r="C83" s="231">
        <f>IF(calculations!U73=TRUE,1+C82,C82)</f>
        <v>0</v>
      </c>
      <c r="D83" s="231" t="s">
        <v>822</v>
      </c>
      <c r="E83" s="360" t="str">
        <f>IF(calculations!U73=TRUE,CONCATENATE(E82,"(",VALUE(C83),") ",D83),E82)</f>
        <v/>
      </c>
    </row>
    <row r="84" spans="1:5" x14ac:dyDescent="0.3">
      <c r="A84" s="360" t="s">
        <v>633</v>
      </c>
      <c r="B84" s="362" t="s">
        <v>811</v>
      </c>
      <c r="C84" s="231">
        <f>IF(calculations!U74=TRUE,1+C83,C83)</f>
        <v>0</v>
      </c>
      <c r="D84" s="231" t="s">
        <v>810</v>
      </c>
      <c r="E84" s="360" t="str">
        <f>IF(calculations!U74=TRUE,CONCATENATE(E83,"(",VALUE(C84),") ",D84),E83)</f>
        <v/>
      </c>
    </row>
    <row r="85" spans="1:5" x14ac:dyDescent="0.3">
      <c r="A85" s="231" t="s">
        <v>634</v>
      </c>
      <c r="B85" s="362" t="s">
        <v>785</v>
      </c>
      <c r="C85" s="231">
        <f>IF(calculations!U75=TRUE,1+C84,C84)</f>
        <v>0</v>
      </c>
      <c r="D85" s="231" t="s">
        <v>823</v>
      </c>
      <c r="E85" s="360" t="str">
        <f>IF(calculations!U75=TRUE,CONCATENATE(E84,"(",VALUE(C85),") ",D85),E84)</f>
        <v/>
      </c>
    </row>
    <row r="86" spans="1:5" x14ac:dyDescent="0.3">
      <c r="A86" s="231" t="s">
        <v>635</v>
      </c>
      <c r="B86" s="362" t="s">
        <v>776</v>
      </c>
      <c r="C86" s="231">
        <f>IF(calculations!U76=TRUE,1+C85,C85)</f>
        <v>0</v>
      </c>
      <c r="D86" s="231" t="s">
        <v>812</v>
      </c>
      <c r="E86" s="360" t="str">
        <f>IF(calculations!U76=TRUE,CONCATENATE(E85,"(",VALUE(C86),") ",D86),E85)</f>
        <v/>
      </c>
    </row>
    <row r="87" spans="1:5" x14ac:dyDescent="0.3">
      <c r="A87" s="360" t="s">
        <v>636</v>
      </c>
      <c r="B87" s="362" t="s">
        <v>777</v>
      </c>
      <c r="C87" s="231">
        <f>IF(calculations!U77=TRUE,1+C86,C86)</f>
        <v>0</v>
      </c>
      <c r="D87" s="231" t="s">
        <v>824</v>
      </c>
      <c r="E87" s="360" t="str">
        <f>IF(calculations!U77=TRUE,CONCATENATE(E86,"(",VALUE(C87),") ",D87),E86)</f>
        <v/>
      </c>
    </row>
    <row r="88" spans="1:5" x14ac:dyDescent="0.3">
      <c r="A88" s="360" t="s">
        <v>637</v>
      </c>
      <c r="B88" s="362" t="s">
        <v>778</v>
      </c>
      <c r="C88" s="231">
        <f>IF(calculations!U78=TRUE,1+C87,C87)</f>
        <v>0</v>
      </c>
      <c r="D88" s="231" t="s">
        <v>825</v>
      </c>
      <c r="E88" s="360" t="str">
        <f>IF(calculations!U78=TRUE,CONCATENATE(E87,"(",VALUE(C88),") ",D88),E87)</f>
        <v/>
      </c>
    </row>
    <row r="89" spans="1:5" x14ac:dyDescent="0.3">
      <c r="A89" s="360" t="s">
        <v>639</v>
      </c>
      <c r="B89" s="362" t="s">
        <v>779</v>
      </c>
      <c r="C89" s="231">
        <f>IF(calculations!U80=TRUE, 1,0)</f>
        <v>0</v>
      </c>
      <c r="D89" s="231" t="s">
        <v>826</v>
      </c>
      <c r="E89" s="360" t="str">
        <f>IF(calculations!U80=TRUE,CONCATENATE("(",VALUE(C89),") ",D89),"")</f>
        <v/>
      </c>
    </row>
    <row r="90" spans="1:5" x14ac:dyDescent="0.3">
      <c r="A90" s="360" t="s">
        <v>640</v>
      </c>
      <c r="B90" s="362" t="s">
        <v>780</v>
      </c>
      <c r="C90" s="231">
        <f>IF(calculations!U81=TRUE,1+C89,C89)</f>
        <v>0</v>
      </c>
      <c r="D90" s="231" t="s">
        <v>1583</v>
      </c>
      <c r="E90" s="360" t="str">
        <f>IF(calculations!U81=TRUE,CONCATENATE(E89,"(",VALUE(C90),") ",D90),E89)</f>
        <v/>
      </c>
    </row>
    <row r="91" spans="1:5" x14ac:dyDescent="0.3">
      <c r="A91" s="231" t="s">
        <v>642</v>
      </c>
      <c r="B91" s="362" t="s">
        <v>781</v>
      </c>
      <c r="C91" s="231">
        <f>IF(calculations!U83=TRUE,1+C90,C90)</f>
        <v>0</v>
      </c>
      <c r="D91" s="231" t="s">
        <v>827</v>
      </c>
      <c r="E91" s="360" t="str">
        <f>IF(calculations!U83=TRUE,CONCATENATE(E90,"(",VALUE(C91),") ",D91),E90)</f>
        <v/>
      </c>
    </row>
    <row r="92" spans="1:5" x14ac:dyDescent="0.3">
      <c r="A92" s="231" t="s">
        <v>643</v>
      </c>
      <c r="B92" s="362" t="s">
        <v>782</v>
      </c>
      <c r="C92" s="231">
        <f>IF(calculations!U84=TRUE,1+C91,C91)</f>
        <v>0</v>
      </c>
      <c r="D92" s="231" t="s">
        <v>828</v>
      </c>
      <c r="E92" s="360" t="str">
        <f>IF(calculations!U84=TRUE,CONCATENATE(E91,"(",VALUE(C92),") ",D92),E91)</f>
        <v/>
      </c>
    </row>
    <row r="93" spans="1:5" x14ac:dyDescent="0.3">
      <c r="A93" s="360" t="s">
        <v>644</v>
      </c>
      <c r="B93" s="362" t="s">
        <v>783</v>
      </c>
      <c r="C93" s="231">
        <f>IF(calculations!U85=TRUE,1+C92,C92)</f>
        <v>0</v>
      </c>
      <c r="D93" s="231" t="s">
        <v>829</v>
      </c>
      <c r="E93" s="360" t="str">
        <f>IF(calculations!U85=TRUE,CONCATENATE(E92,"(",VALUE(C93),") ",D93),E92)</f>
        <v/>
      </c>
    </row>
    <row r="94" spans="1:5" x14ac:dyDescent="0.3">
      <c r="A94" s="360" t="s">
        <v>645</v>
      </c>
      <c r="B94" s="362" t="s">
        <v>784</v>
      </c>
      <c r="C94" s="231">
        <f>IF(calculations!U86=TRUE,1+C93,C93)</f>
        <v>0</v>
      </c>
      <c r="D94" s="231" t="s">
        <v>852</v>
      </c>
      <c r="E94" s="360" t="str">
        <f>IF(calculations!U86=TRUE,CONCATENATE(E93,"(",VALUE(C94),") ",D94),E93)</f>
        <v/>
      </c>
    </row>
    <row r="95" spans="1:5" x14ac:dyDescent="0.3">
      <c r="A95" s="360" t="s">
        <v>647</v>
      </c>
      <c r="B95" s="362" t="s">
        <v>786</v>
      </c>
      <c r="C95" s="231">
        <f>IF(calculations!U88=TRUE, 1,0)</f>
        <v>0</v>
      </c>
      <c r="D95" s="231" t="s">
        <v>830</v>
      </c>
      <c r="E95" s="360" t="str">
        <f>IF(calculations!U88=TRUE,CONCATENATE("(",VALUE(C95),") ",D95),"")</f>
        <v/>
      </c>
    </row>
    <row r="96" spans="1:5" x14ac:dyDescent="0.3">
      <c r="A96" s="231" t="s">
        <v>648</v>
      </c>
      <c r="B96" s="362" t="s">
        <v>787</v>
      </c>
      <c r="C96" s="231">
        <f>IF(calculations!U89=TRUE,1+C95,C95)</f>
        <v>0</v>
      </c>
      <c r="D96" s="231" t="s">
        <v>831</v>
      </c>
      <c r="E96" s="360" t="str">
        <f>IF(calculations!U89=TRUE,CONCATENATE(E95,"(",VALUE(C96),") ",D96),E95)</f>
        <v/>
      </c>
    </row>
    <row r="97" spans="1:5" x14ac:dyDescent="0.3">
      <c r="A97" s="231" t="s">
        <v>649</v>
      </c>
      <c r="B97" s="362" t="s">
        <v>788</v>
      </c>
      <c r="C97" s="231">
        <f>IF(calculations!U90=TRUE,1+C96,C96)</f>
        <v>0</v>
      </c>
      <c r="D97" s="231" t="s">
        <v>832</v>
      </c>
      <c r="E97" s="360" t="str">
        <f>IF(calculations!U90=TRUE,CONCATENATE(E96,"(",VALUE(C97),") ",D97),E96)</f>
        <v/>
      </c>
    </row>
    <row r="98" spans="1:5" x14ac:dyDescent="0.3">
      <c r="A98" s="360" t="s">
        <v>651</v>
      </c>
      <c r="B98" s="362" t="s">
        <v>789</v>
      </c>
      <c r="C98" s="231">
        <f>IF(calculations!U94=TRUE, 1,0)</f>
        <v>0</v>
      </c>
      <c r="D98" s="231" t="s">
        <v>833</v>
      </c>
      <c r="E98" s="360" t="str">
        <f>IF(calculations!U94=TRUE,CONCATENATE("(",VALUE(C98),") ",D98),"")</f>
        <v/>
      </c>
    </row>
    <row r="99" spans="1:5" x14ac:dyDescent="0.3">
      <c r="A99" s="360" t="s">
        <v>652</v>
      </c>
      <c r="B99" s="362" t="s">
        <v>790</v>
      </c>
      <c r="C99" s="231">
        <f>IF(calculations!U95=TRUE,1+C98,C98)</f>
        <v>0</v>
      </c>
      <c r="D99" s="231" t="s">
        <v>1794</v>
      </c>
      <c r="E99" s="360" t="str">
        <f>IF(calculations!U95=TRUE,CONCATENATE(E98,"(",VALUE(C99),") ",D99),E98)</f>
        <v/>
      </c>
    </row>
    <row r="100" spans="1:5" x14ac:dyDescent="0.3">
      <c r="A100" s="231" t="s">
        <v>676</v>
      </c>
      <c r="B100" s="362" t="s">
        <v>804</v>
      </c>
      <c r="C100" s="231">
        <f>IF(calculations!U107=TRUE, 1,0)</f>
        <v>0</v>
      </c>
      <c r="D100" s="231" t="s">
        <v>816</v>
      </c>
      <c r="E100" s="360" t="str">
        <f>IF(calculations!U107=TRUE,CONCATENATE("(",VALUE(C100),") ",D100),"")</f>
        <v/>
      </c>
    </row>
    <row r="101" spans="1:5" x14ac:dyDescent="0.3">
      <c r="A101" s="231" t="s">
        <v>0</v>
      </c>
      <c r="B101" s="362" t="s">
        <v>803</v>
      </c>
      <c r="C101" s="231">
        <f>IF(calculations!U108=TRUE,1+C100,C100)</f>
        <v>0</v>
      </c>
      <c r="D101" s="231" t="s">
        <v>814</v>
      </c>
      <c r="E101" s="360" t="str">
        <f>IF(calculations!U108=TRUE,CONCATENATE(E100,"(",VALUE(C101),") ",D101),E100)</f>
        <v/>
      </c>
    </row>
    <row r="102" spans="1:5" x14ac:dyDescent="0.3">
      <c r="A102" s="231" t="s">
        <v>791</v>
      </c>
      <c r="B102" s="362" t="s">
        <v>802</v>
      </c>
      <c r="C102" s="231">
        <f>IF(calculations!U109=TRUE,1+C101,C101)</f>
        <v>0</v>
      </c>
      <c r="D102" s="231" t="s">
        <v>1584</v>
      </c>
      <c r="E102" s="360" t="str">
        <f>IF(calculations!U109=TRUE,CONCATENATE(E101,"(",VALUE(C102),") ",D102),E101)</f>
        <v/>
      </c>
    </row>
    <row r="103" spans="1:5" x14ac:dyDescent="0.3">
      <c r="A103" s="231" t="s">
        <v>1</v>
      </c>
      <c r="B103" s="231" t="s">
        <v>801</v>
      </c>
      <c r="C103" s="231">
        <f>IF(calculations!U110=TRUE,1+C102,C102)</f>
        <v>0</v>
      </c>
      <c r="D103" s="231" t="s">
        <v>813</v>
      </c>
      <c r="E103" s="360" t="str">
        <f>IF(calculations!U110=TRUE,CONCATENATE(E102,"(",VALUE(C103),") ",D103),E102)</f>
        <v/>
      </c>
    </row>
    <row r="104" spans="1:5" x14ac:dyDescent="0.3">
      <c r="A104" s="231" t="s">
        <v>2</v>
      </c>
      <c r="B104" s="231" t="s">
        <v>800</v>
      </c>
      <c r="C104" s="231">
        <f>IF(calculations!U111=TRUE,1+C103,C103)</f>
        <v>0</v>
      </c>
      <c r="D104" s="231" t="s">
        <v>834</v>
      </c>
      <c r="E104" s="360" t="str">
        <f>IF(calculations!U111=TRUE,CONCATENATE(E103," (",VALUE(C104),") ",D104),E103)</f>
        <v/>
      </c>
    </row>
    <row r="105" spans="1:5" x14ac:dyDescent="0.3">
      <c r="A105" s="231" t="s">
        <v>3</v>
      </c>
      <c r="B105" s="231" t="s">
        <v>799</v>
      </c>
      <c r="C105" s="231">
        <f>IF(calculations!U112=TRUE,1+C104,C104)</f>
        <v>0</v>
      </c>
      <c r="D105" s="231" t="s">
        <v>815</v>
      </c>
      <c r="E105" s="360" t="str">
        <f>IF(calculations!U112=TRUE,CONCATENATE(E104,"(",VALUE(C105),") ",D105),E104)</f>
        <v/>
      </c>
    </row>
    <row r="106" spans="1:5" x14ac:dyDescent="0.3">
      <c r="A106" s="231" t="s">
        <v>4</v>
      </c>
      <c r="B106" s="231" t="s">
        <v>798</v>
      </c>
      <c r="C106" s="231">
        <f>IF(calculations!U113=TRUE,1+C105,C105)</f>
        <v>0</v>
      </c>
      <c r="D106" s="231" t="s">
        <v>835</v>
      </c>
      <c r="E106" s="360" t="str">
        <f>IF(calculations!U113=TRUE,CONCATENATE(E105,"(",VALUE(C106),") ",D106),E105)</f>
        <v/>
      </c>
    </row>
    <row r="107" spans="1:5" x14ac:dyDescent="0.3">
      <c r="A107" s="231" t="s">
        <v>284</v>
      </c>
      <c r="B107" s="231" t="s">
        <v>797</v>
      </c>
      <c r="C107" s="231">
        <f>IF(calculations!U114=TRUE,1+C106,C106)</f>
        <v>0</v>
      </c>
      <c r="D107" s="231" t="s">
        <v>836</v>
      </c>
      <c r="E107" s="360" t="str">
        <f>IF(calculations!U114=TRUE,CONCATENATE(E106," (",VALUE(C107),") ",D107),E106)</f>
        <v/>
      </c>
    </row>
    <row r="108" spans="1:5" x14ac:dyDescent="0.3">
      <c r="A108" s="231" t="s">
        <v>6</v>
      </c>
      <c r="B108" s="231" t="s">
        <v>796</v>
      </c>
      <c r="C108" s="231">
        <f>IF(calculations!U120=TRUE, 1,0)</f>
        <v>0</v>
      </c>
      <c r="D108" s="231" t="s">
        <v>837</v>
      </c>
      <c r="E108" s="360" t="str">
        <f>IF(calculations!U120=TRUE,CONCATENATE("(",VALUE(C108),") ",D108),"")</f>
        <v/>
      </c>
    </row>
    <row r="109" spans="1:5" x14ac:dyDescent="0.3">
      <c r="A109" s="231" t="s">
        <v>7</v>
      </c>
      <c r="B109" s="231" t="s">
        <v>795</v>
      </c>
      <c r="C109" s="231">
        <f>IF(calculations!U121=TRUE,1+C108,C108)</f>
        <v>0</v>
      </c>
      <c r="D109" s="231" t="s">
        <v>838</v>
      </c>
      <c r="E109" s="360" t="str">
        <f>IF(calculations!U121=TRUE,CONCATENATE(E108,"(",VALUE(C109),") ",D109),E108)</f>
        <v/>
      </c>
    </row>
    <row r="110" spans="1:5" x14ac:dyDescent="0.3">
      <c r="A110" s="231" t="s">
        <v>8</v>
      </c>
      <c r="B110" s="231" t="s">
        <v>794</v>
      </c>
      <c r="C110" s="231">
        <f>IF(calculations!U122=TRUE,1+C109,C109)</f>
        <v>0</v>
      </c>
      <c r="D110" s="231" t="s">
        <v>839</v>
      </c>
      <c r="E110" s="360" t="str">
        <f>IF(calculations!U122=TRUE,CONCATENATE(E109,"(",VALUE(C110),") ",D110),E109)</f>
        <v/>
      </c>
    </row>
    <row r="111" spans="1:5" x14ac:dyDescent="0.3">
      <c r="A111" s="231" t="s">
        <v>9</v>
      </c>
      <c r="B111" s="231" t="s">
        <v>793</v>
      </c>
      <c r="C111" s="231">
        <f>IF(calculations!U123=TRUE,1+C110,C110)</f>
        <v>0</v>
      </c>
      <c r="D111" s="231" t="s">
        <v>840</v>
      </c>
      <c r="E111" s="360" t="str">
        <f>IF(calculations!U123=TRUE,CONCATENATE(E110,"(",VALUE(C111),") ",D111),E110)</f>
        <v/>
      </c>
    </row>
    <row r="112" spans="1:5" x14ac:dyDescent="0.3">
      <c r="A112" s="231" t="s">
        <v>10</v>
      </c>
      <c r="B112" s="231" t="s">
        <v>792</v>
      </c>
      <c r="C112" s="231">
        <f>IF(calculations!U124=TRUE,1+C111,C111)</f>
        <v>0</v>
      </c>
      <c r="D112" s="231" t="s">
        <v>841</v>
      </c>
      <c r="E112" s="360" t="str">
        <f>IF(calculations!U124=TRUE,CONCATENATE(E111,"(",VALUE(C112),") ",D112),E111)</f>
        <v/>
      </c>
    </row>
    <row r="113" spans="1:36" x14ac:dyDescent="0.3">
      <c r="A113" s="231" t="s">
        <v>15</v>
      </c>
      <c r="B113" s="362" t="s">
        <v>69</v>
      </c>
      <c r="C113" s="361" t="s">
        <v>382</v>
      </c>
      <c r="D113" s="231" t="s">
        <v>843</v>
      </c>
      <c r="E113" s="360" t="str">
        <f>D113</f>
        <v xml:space="preserve">A written, signed application should be required for all paid staff positions that includes previous employer contact. </v>
      </c>
    </row>
    <row r="114" spans="1:36" x14ac:dyDescent="0.3">
      <c r="A114" s="231" t="s">
        <v>16</v>
      </c>
      <c r="B114" s="362" t="s">
        <v>69</v>
      </c>
      <c r="C114" s="361" t="s">
        <v>383</v>
      </c>
      <c r="D114" s="231" t="s">
        <v>843</v>
      </c>
      <c r="E114" s="360" t="str">
        <f t="shared" ref="E114:E142" si="2">D114</f>
        <v xml:space="preserve">A written, signed application should be required for all paid staff positions that includes previous employer contact. </v>
      </c>
    </row>
    <row r="115" spans="1:36" x14ac:dyDescent="0.3">
      <c r="A115" s="231" t="s">
        <v>20</v>
      </c>
      <c r="B115" s="362" t="s">
        <v>707</v>
      </c>
      <c r="C115" s="361" t="s">
        <v>382</v>
      </c>
      <c r="D115" s="231" t="s">
        <v>844</v>
      </c>
      <c r="E115" s="360" t="str">
        <f t="shared" si="2"/>
        <v xml:space="preserve">CBCs should be required from all jurisdictions in which the applicant has lived or worked for the last five years for all paid staff positions. </v>
      </c>
    </row>
    <row r="116" spans="1:36" x14ac:dyDescent="0.3">
      <c r="A116" s="231" t="s">
        <v>21</v>
      </c>
      <c r="B116" s="362" t="s">
        <v>707</v>
      </c>
      <c r="C116" s="361" t="s">
        <v>384</v>
      </c>
      <c r="D116" s="231" t="s">
        <v>844</v>
      </c>
      <c r="E116" s="360" t="str">
        <f t="shared" si="2"/>
        <v xml:space="preserve">CBCs should be required from all jurisdictions in which the applicant has lived or worked for the last five years for all paid staff positions. </v>
      </c>
    </row>
    <row r="117" spans="1:36" x14ac:dyDescent="0.3">
      <c r="A117" s="231" t="s">
        <v>26</v>
      </c>
      <c r="B117" s="362" t="s">
        <v>758</v>
      </c>
      <c r="C117" s="361" t="s">
        <v>382</v>
      </c>
      <c r="D117" s="231" t="s">
        <v>845</v>
      </c>
      <c r="E117" s="360" t="str">
        <f t="shared" si="2"/>
        <v xml:space="preserve">A formal written RTW / LD program should be developed and made part of the safety and/or employee manual. </v>
      </c>
    </row>
    <row r="118" spans="1:36" x14ac:dyDescent="0.3">
      <c r="A118" s="231" t="s">
        <v>27</v>
      </c>
      <c r="B118" s="362" t="s">
        <v>758</v>
      </c>
      <c r="C118" s="361" t="s">
        <v>383</v>
      </c>
      <c r="D118" s="231" t="s">
        <v>845</v>
      </c>
      <c r="E118" s="360" t="str">
        <f t="shared" si="2"/>
        <v xml:space="preserve">A formal written RTW / LD program should be developed and made part of the safety and/or employee manual. </v>
      </c>
    </row>
    <row r="119" spans="1:36" x14ac:dyDescent="0.3">
      <c r="A119" s="256" t="s">
        <v>32</v>
      </c>
      <c r="B119" s="362" t="s">
        <v>759</v>
      </c>
      <c r="C119" s="361" t="s">
        <v>382</v>
      </c>
      <c r="D119" s="231" t="s">
        <v>846</v>
      </c>
      <c r="E119" s="360" t="str">
        <f t="shared" si="2"/>
        <v xml:space="preserve">A formal written drug free workplace program that includes DOT-compatible testing of any CDL drivers should be implemented. </v>
      </c>
    </row>
    <row r="120" spans="1:36" x14ac:dyDescent="0.3">
      <c r="A120" s="256" t="s">
        <v>33</v>
      </c>
      <c r="B120" s="362" t="s">
        <v>759</v>
      </c>
      <c r="C120" s="361" t="s">
        <v>383</v>
      </c>
      <c r="D120" s="231" t="s">
        <v>846</v>
      </c>
      <c r="E120" s="360" t="str">
        <f t="shared" si="2"/>
        <v xml:space="preserve">A formal written drug free workplace program that includes DOT-compatible testing of any CDL drivers should be implemented. </v>
      </c>
    </row>
    <row r="121" spans="1:36" ht="12.75" customHeight="1" x14ac:dyDescent="0.3">
      <c r="A121" s="256" t="s">
        <v>38</v>
      </c>
      <c r="B121" s="362" t="s">
        <v>34</v>
      </c>
      <c r="C121" s="361" t="s">
        <v>382</v>
      </c>
      <c r="D121" s="367" t="s">
        <v>1781</v>
      </c>
      <c r="E121" s="360" t="str">
        <f t="shared" si="2"/>
        <v xml:space="preserve">1) A comprehensive written safety program should be implemented. 2) The comprehensive written safety program should be reviewed with employees at orientation and subsequently when amended. 3) The comprehensive written safety program should be shared with and accessible to all employees. </v>
      </c>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row>
    <row r="122" spans="1:36" ht="12.75" customHeight="1" x14ac:dyDescent="0.3">
      <c r="A122" s="256" t="s">
        <v>39</v>
      </c>
      <c r="B122" s="362" t="s">
        <v>34</v>
      </c>
      <c r="C122" s="361" t="s">
        <v>383</v>
      </c>
      <c r="D122" s="367" t="s">
        <v>1781</v>
      </c>
      <c r="E122" s="360" t="str">
        <f t="shared" si="2"/>
        <v xml:space="preserve">1) A comprehensive written safety program should be implemented. 2) The comprehensive written safety program should be reviewed with employees at orientation and subsequently when amended. 3) The comprehensive written safety program should be shared with and accessible to all employees. </v>
      </c>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row>
    <row r="123" spans="1:36" x14ac:dyDescent="0.3">
      <c r="A123" s="256" t="s">
        <v>45</v>
      </c>
      <c r="B123" s="362" t="s">
        <v>40</v>
      </c>
      <c r="C123" s="361" t="s">
        <v>382</v>
      </c>
      <c r="D123" s="231" t="s">
        <v>847</v>
      </c>
      <c r="E123" s="360" t="str">
        <f t="shared" si="2"/>
        <v xml:space="preserve">A written statement should be published and posted designating to which health care providers injured employees should go for medical treatment if injured on the job; if necessary, it is permissible for the nearest provider to be more than 5 miles away. </v>
      </c>
    </row>
    <row r="124" spans="1:36" x14ac:dyDescent="0.3">
      <c r="A124" s="256" t="s">
        <v>46</v>
      </c>
      <c r="B124" s="362" t="s">
        <v>40</v>
      </c>
      <c r="C124" s="361" t="s">
        <v>383</v>
      </c>
      <c r="D124" s="231" t="s">
        <v>847</v>
      </c>
      <c r="E124" s="360" t="str">
        <f t="shared" si="2"/>
        <v xml:space="preserve">A written statement should be published and posted designating to which health care providers injured employees should go for medical treatment if injured on the job; if necessary, it is permissible for the nearest provider to be more than 5 miles away. </v>
      </c>
    </row>
    <row r="125" spans="1:36" x14ac:dyDescent="0.3">
      <c r="A125" s="256" t="s">
        <v>52</v>
      </c>
      <c r="B125" s="362" t="s">
        <v>760</v>
      </c>
      <c r="C125" s="361" t="s">
        <v>382</v>
      </c>
      <c r="D125" s="229" t="s">
        <v>842</v>
      </c>
      <c r="E125" s="360" t="str">
        <f t="shared" si="2"/>
        <v>Formal orientation and job training should be implemented for all positions.</v>
      </c>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c r="AF125" s="229"/>
      <c r="AG125" s="229"/>
      <c r="AH125" s="229"/>
      <c r="AI125" s="229"/>
      <c r="AJ125" s="229"/>
    </row>
    <row r="126" spans="1:36" x14ac:dyDescent="0.3">
      <c r="A126" s="256" t="s">
        <v>53</v>
      </c>
      <c r="B126" s="362" t="s">
        <v>760</v>
      </c>
      <c r="C126" s="361" t="s">
        <v>383</v>
      </c>
      <c r="D126" s="229" t="s">
        <v>842</v>
      </c>
      <c r="E126" s="360" t="str">
        <f t="shared" si="2"/>
        <v>Formal orientation and job training should be implemented for all positions.</v>
      </c>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c r="AE126" s="229"/>
      <c r="AF126" s="229"/>
      <c r="AG126" s="229"/>
      <c r="AH126" s="229"/>
      <c r="AI126" s="229"/>
      <c r="AJ126" s="229"/>
    </row>
    <row r="127" spans="1:36" ht="12.75" customHeight="1" x14ac:dyDescent="0.3">
      <c r="A127" s="256" t="s">
        <v>58</v>
      </c>
      <c r="B127" s="362" t="s">
        <v>503</v>
      </c>
      <c r="C127" s="361" t="s">
        <v>382</v>
      </c>
      <c r="D127" s="229" t="s">
        <v>1782</v>
      </c>
      <c r="E127" s="360" t="str">
        <f t="shared" si="2"/>
        <v xml:space="preserve">1) Safe lifting techniques should be reviewed in the initial orientation. 2) Written job-specific lifting techniques should be included in the employee and/or safety manual that all employees receive and acknowledge by signature. </v>
      </c>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229"/>
      <c r="AF127" s="229"/>
      <c r="AG127" s="229"/>
      <c r="AH127" s="229"/>
      <c r="AI127" s="229"/>
      <c r="AJ127" s="229"/>
    </row>
    <row r="128" spans="1:36" ht="12.75" customHeight="1" x14ac:dyDescent="0.3">
      <c r="A128" s="256" t="s">
        <v>59</v>
      </c>
      <c r="B128" s="362" t="s">
        <v>503</v>
      </c>
      <c r="C128" s="361" t="s">
        <v>383</v>
      </c>
      <c r="D128" s="229" t="s">
        <v>1782</v>
      </c>
      <c r="E128" s="360" t="str">
        <f t="shared" si="2"/>
        <v xml:space="preserve">1) Safe lifting techniques should be reviewed in the initial orientation. 2) Written job-specific lifting techniques should be included in the employee and/or safety manual that all employees receive and acknowledge by signature. </v>
      </c>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row>
    <row r="129" spans="1:36" ht="12.75" customHeight="1" x14ac:dyDescent="0.3">
      <c r="A129" s="256" t="s">
        <v>64</v>
      </c>
      <c r="B129" s="362" t="s">
        <v>761</v>
      </c>
      <c r="C129" s="361" t="s">
        <v>382</v>
      </c>
      <c r="D129" s="229" t="s">
        <v>1783</v>
      </c>
      <c r="E129" s="360" t="str">
        <f t="shared" si="2"/>
        <v xml:space="preserve">1) A written hazard communication program should be implemented. 2) Maintenance, grounds, and aquatic employees should receive appropriate written hazard communication training. 3) MSDSs should be current, organized, and kept in a location accessible to the affected employees. </v>
      </c>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c r="AE129" s="229"/>
      <c r="AF129" s="229"/>
      <c r="AG129" s="229"/>
      <c r="AH129" s="229"/>
      <c r="AI129" s="229"/>
      <c r="AJ129" s="229"/>
    </row>
    <row r="130" spans="1:36" ht="12.75" customHeight="1" x14ac:dyDescent="0.3">
      <c r="A130" s="256" t="s">
        <v>65</v>
      </c>
      <c r="B130" s="362" t="s">
        <v>761</v>
      </c>
      <c r="C130" s="361" t="s">
        <v>383</v>
      </c>
      <c r="D130" s="229" t="s">
        <v>1783</v>
      </c>
      <c r="E130" s="360" t="str">
        <f t="shared" si="2"/>
        <v xml:space="preserve">1) A written hazard communication program should be implemented. 2) Maintenance, grounds, and aquatic employees should receive appropriate written hazard communication training. 3) MSDSs should be current, organized, and kept in a location accessible to the affected employees. </v>
      </c>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c r="AE130" s="229"/>
      <c r="AF130" s="229"/>
      <c r="AG130" s="229"/>
      <c r="AH130" s="229"/>
      <c r="AI130" s="229"/>
      <c r="AJ130" s="229"/>
    </row>
    <row r="131" spans="1:36" ht="12.75" customHeight="1" x14ac:dyDescent="0.3">
      <c r="A131" s="256" t="s">
        <v>265</v>
      </c>
      <c r="B131" s="362" t="s">
        <v>551</v>
      </c>
      <c r="C131" s="361" t="s">
        <v>382</v>
      </c>
      <c r="D131" s="229" t="s">
        <v>1784</v>
      </c>
      <c r="E131" s="360" t="str">
        <f t="shared" si="2"/>
        <v xml:space="preserve">1) Written blood borne pathogen procedures should be implemented. 2) Childcare workers, lifeguards, coaches and officials should receive documented blood borne pathogen protection training in universal precautions that includes handling blood and other bodily fluids. </v>
      </c>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c r="AE131" s="229"/>
      <c r="AF131" s="229"/>
      <c r="AG131" s="229"/>
      <c r="AH131" s="229"/>
      <c r="AI131" s="229"/>
      <c r="AJ131" s="229"/>
    </row>
    <row r="132" spans="1:36" ht="12.75" customHeight="1" x14ac:dyDescent="0.3">
      <c r="A132" s="256" t="s">
        <v>266</v>
      </c>
      <c r="B132" s="362" t="s">
        <v>551</v>
      </c>
      <c r="C132" s="361" t="s">
        <v>383</v>
      </c>
      <c r="D132" s="229" t="s">
        <v>1784</v>
      </c>
      <c r="E132" s="360" t="str">
        <f t="shared" si="2"/>
        <v xml:space="preserve">1) Written blood borne pathogen procedures should be implemented. 2) Childcare workers, lifeguards, coaches and officials should receive documented blood borne pathogen protection training in universal precautions that includes handling blood and other bodily fluids. </v>
      </c>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row>
    <row r="133" spans="1:36" ht="12.75" customHeight="1" x14ac:dyDescent="0.3">
      <c r="A133" s="256" t="s">
        <v>271</v>
      </c>
      <c r="B133" s="362" t="s">
        <v>762</v>
      </c>
      <c r="C133" s="361" t="s">
        <v>382</v>
      </c>
      <c r="D133" s="229" t="s">
        <v>1785</v>
      </c>
      <c r="E133" s="360" t="str">
        <f t="shared" si="2"/>
        <v xml:space="preserve">1) Lifeguards and licensed childcare and after-school care staff should receive first aid and CPR training before performing those functions. 2) Fitness and other programming staff should receive first aid and CPR training within 60 days of hire. </v>
      </c>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229"/>
      <c r="AF133" s="229"/>
      <c r="AG133" s="229"/>
      <c r="AH133" s="229"/>
      <c r="AI133" s="229"/>
      <c r="AJ133" s="229"/>
    </row>
    <row r="134" spans="1:36" ht="12.75" customHeight="1" x14ac:dyDescent="0.3">
      <c r="A134" s="256" t="s">
        <v>272</v>
      </c>
      <c r="B134" s="362" t="s">
        <v>762</v>
      </c>
      <c r="C134" s="361" t="s">
        <v>384</v>
      </c>
      <c r="D134" s="229" t="s">
        <v>1785</v>
      </c>
      <c r="E134" s="360" t="str">
        <f t="shared" si="2"/>
        <v xml:space="preserve">1) Lifeguards and licensed childcare and after-school care staff should receive first aid and CPR training before performing those functions. 2) Fitness and other programming staff should receive first aid and CPR training within 60 days of hire. </v>
      </c>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c r="AG134" s="229"/>
      <c r="AH134" s="229"/>
      <c r="AI134" s="229"/>
      <c r="AJ134" s="229"/>
    </row>
    <row r="135" spans="1:36" ht="12.75" customHeight="1" x14ac:dyDescent="0.3">
      <c r="A135" s="256" t="s">
        <v>277</v>
      </c>
      <c r="B135" s="362" t="s">
        <v>763</v>
      </c>
      <c r="C135" s="361" t="s">
        <v>382</v>
      </c>
      <c r="D135" s="229" t="s">
        <v>848</v>
      </c>
      <c r="E135" s="360" t="str">
        <f t="shared" si="2"/>
        <v xml:space="preserve">A uniform protocol should be implemented that requires all accidents to be reported to the supervisor within 24 hours. </v>
      </c>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c r="AG135" s="229"/>
      <c r="AH135" s="229"/>
      <c r="AI135" s="229"/>
      <c r="AJ135" s="229"/>
    </row>
    <row r="136" spans="1:36" ht="12.75" customHeight="1" x14ac:dyDescent="0.3">
      <c r="A136" s="256" t="s">
        <v>278</v>
      </c>
      <c r="B136" s="362" t="s">
        <v>763</v>
      </c>
      <c r="C136" s="361" t="s">
        <v>383</v>
      </c>
      <c r="D136" s="229" t="s">
        <v>848</v>
      </c>
      <c r="E136" s="360" t="str">
        <f t="shared" si="2"/>
        <v xml:space="preserve">A uniform protocol should be implemented that requires all accidents to be reported to the supervisor within 24 hours. </v>
      </c>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c r="AG136" s="229"/>
      <c r="AH136" s="229"/>
      <c r="AI136" s="229"/>
      <c r="AJ136" s="229"/>
    </row>
    <row r="137" spans="1:36" x14ac:dyDescent="0.3">
      <c r="A137" s="256" t="s">
        <v>283</v>
      </c>
      <c r="B137" s="362" t="s">
        <v>764</v>
      </c>
      <c r="C137" s="361" t="s">
        <v>382</v>
      </c>
      <c r="D137" s="231" t="s">
        <v>850</v>
      </c>
      <c r="E137" s="360" t="str">
        <f t="shared" si="2"/>
        <v xml:space="preserve">Notification of accidents should be reported to your insurance provider within two days of the event - within 24 hours if it involves death or multiple victims. </v>
      </c>
    </row>
    <row r="138" spans="1:36" x14ac:dyDescent="0.3">
      <c r="A138" s="256" t="s">
        <v>196</v>
      </c>
      <c r="B138" s="362" t="s">
        <v>764</v>
      </c>
      <c r="C138" s="361" t="s">
        <v>383</v>
      </c>
      <c r="D138" s="231" t="s">
        <v>850</v>
      </c>
      <c r="E138" s="360" t="str">
        <f t="shared" si="2"/>
        <v xml:space="preserve">Notification of accidents should be reported to your insurance provider within two days of the event - within 24 hours if it involves death or multiple victims. </v>
      </c>
    </row>
    <row r="139" spans="1:36" x14ac:dyDescent="0.3">
      <c r="A139" s="256" t="s">
        <v>223</v>
      </c>
      <c r="B139" s="362" t="s">
        <v>765</v>
      </c>
      <c r="C139" s="361" t="s">
        <v>382</v>
      </c>
      <c r="D139" s="229" t="s">
        <v>849</v>
      </c>
      <c r="E139" s="360" t="str">
        <f t="shared" si="2"/>
        <v xml:space="preserve">Accident investigations and reports should be completed for all injuries. </v>
      </c>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229"/>
      <c r="AF139" s="229"/>
      <c r="AG139" s="229"/>
      <c r="AH139" s="229"/>
      <c r="AI139" s="229"/>
      <c r="AJ139" s="229"/>
    </row>
    <row r="140" spans="1:36" x14ac:dyDescent="0.3">
      <c r="A140" s="256" t="s">
        <v>224</v>
      </c>
      <c r="B140" s="362" t="s">
        <v>765</v>
      </c>
      <c r="C140" s="361" t="s">
        <v>383</v>
      </c>
      <c r="D140" s="229" t="s">
        <v>849</v>
      </c>
      <c r="E140" s="360" t="str">
        <f t="shared" si="2"/>
        <v xml:space="preserve">Accident investigations and reports should be completed for all injuries. </v>
      </c>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29"/>
      <c r="AF140" s="229"/>
      <c r="AG140" s="229"/>
      <c r="AH140" s="229"/>
      <c r="AI140" s="229"/>
      <c r="AJ140" s="229"/>
    </row>
    <row r="141" spans="1:36" ht="12.75" customHeight="1" x14ac:dyDescent="0.3">
      <c r="A141" s="256" t="s">
        <v>229</v>
      </c>
      <c r="B141" s="362" t="s">
        <v>766</v>
      </c>
      <c r="C141" s="361" t="s">
        <v>382</v>
      </c>
      <c r="D141" s="229" t="s">
        <v>1447</v>
      </c>
      <c r="E141" s="360" t="str">
        <f t="shared" si="2"/>
        <v xml:space="preserve">Documented facility inspections or audits should be completed annually and should be the basis for an action plan; i.e. plans should be developed to address any issues identified. </v>
      </c>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row>
    <row r="142" spans="1:36" ht="12.75" customHeight="1" x14ac:dyDescent="0.3">
      <c r="A142" s="256" t="s">
        <v>230</v>
      </c>
      <c r="B142" s="362" t="s">
        <v>766</v>
      </c>
      <c r="C142" s="361" t="s">
        <v>383</v>
      </c>
      <c r="D142" s="229" t="s">
        <v>1447</v>
      </c>
      <c r="E142" s="360" t="str">
        <f t="shared" si="2"/>
        <v xml:space="preserve">Documented facility inspections or audits should be completed annually and should be the basis for an action plan; i.e. plans should be developed to address any issues identified. </v>
      </c>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229"/>
      <c r="AE142" s="229"/>
      <c r="AF142" s="229"/>
      <c r="AG142" s="229"/>
      <c r="AH142" s="229"/>
      <c r="AI142" s="229"/>
      <c r="AJ142" s="229"/>
    </row>
    <row r="144" spans="1:36" x14ac:dyDescent="0.3">
      <c r="A144" s="358" t="s">
        <v>1911</v>
      </c>
      <c r="C144" s="361"/>
    </row>
    <row r="145" spans="1:6" ht="12.45" x14ac:dyDescent="0.3">
      <c r="A145" s="231" t="s">
        <v>1467</v>
      </c>
      <c r="B145" s="81" t="s">
        <v>1473</v>
      </c>
      <c r="C145" s="368">
        <f>IF(Camping!M97&gt;"",1,0)</f>
        <v>0</v>
      </c>
      <c r="D145" s="231">
        <f>Camping!M97</f>
        <v>0</v>
      </c>
    </row>
    <row r="146" spans="1:6" ht="12.45" x14ac:dyDescent="0.3">
      <c r="A146" s="231" t="s">
        <v>1451</v>
      </c>
      <c r="B146" s="81" t="s">
        <v>1474</v>
      </c>
      <c r="C146" s="368">
        <f>IF(Camping!M115&gt;"",1,0)</f>
        <v>0</v>
      </c>
      <c r="D146" s="231">
        <f>Camping!M115</f>
        <v>0</v>
      </c>
    </row>
    <row r="147" spans="1:6" ht="12.45" x14ac:dyDescent="0.3">
      <c r="A147" s="231" t="s">
        <v>17</v>
      </c>
      <c r="B147" s="81" t="s">
        <v>1475</v>
      </c>
      <c r="C147" s="231">
        <f>IF(calculations!AA163=2,1,0)</f>
        <v>0</v>
      </c>
      <c r="D147" s="231" t="s">
        <v>1561</v>
      </c>
    </row>
    <row r="148" spans="1:6" ht="12.45" x14ac:dyDescent="0.3">
      <c r="A148" s="231" t="s">
        <v>18</v>
      </c>
      <c r="B148" s="81" t="s">
        <v>1476</v>
      </c>
      <c r="C148" s="231">
        <f>IF(calculations!AA164=2,1,0)</f>
        <v>0</v>
      </c>
      <c r="D148" s="231" t="s">
        <v>1562</v>
      </c>
    </row>
    <row r="149" spans="1:6" ht="12.45" x14ac:dyDescent="0.3">
      <c r="A149" s="231" t="s">
        <v>19</v>
      </c>
      <c r="B149" s="81" t="s">
        <v>1477</v>
      </c>
      <c r="C149" s="231">
        <f>IF(calculations!AA165=2,1,0)</f>
        <v>0</v>
      </c>
      <c r="D149" s="231" t="s">
        <v>1563</v>
      </c>
    </row>
    <row r="150" spans="1:6" ht="12.45" x14ac:dyDescent="0.3">
      <c r="A150" s="231" t="s">
        <v>20</v>
      </c>
      <c r="B150" s="81" t="s">
        <v>1479</v>
      </c>
      <c r="C150" s="231">
        <f>IF(calculations!AA168=2,1,0)</f>
        <v>0</v>
      </c>
      <c r="D150" s="231" t="s">
        <v>1565</v>
      </c>
    </row>
    <row r="151" spans="1:6" ht="12.45" x14ac:dyDescent="0.3">
      <c r="A151" s="231" t="s">
        <v>21</v>
      </c>
      <c r="B151" s="81" t="s">
        <v>1478</v>
      </c>
      <c r="C151" s="231">
        <f>IF(calculations!AA169=2,1,0)</f>
        <v>0</v>
      </c>
      <c r="D151" s="231" t="s">
        <v>1564</v>
      </c>
    </row>
    <row r="152" spans="1:6" ht="57.9" x14ac:dyDescent="0.3">
      <c r="A152" s="231" t="s">
        <v>309</v>
      </c>
      <c r="B152" s="81" t="s">
        <v>1480</v>
      </c>
      <c r="C152" s="231">
        <f>IF(calculations!AA170=2,1,0)</f>
        <v>0</v>
      </c>
      <c r="D152" s="369" t="s">
        <v>1566</v>
      </c>
    </row>
    <row r="153" spans="1:6" ht="12.45" x14ac:dyDescent="0.3">
      <c r="A153" s="231" t="s">
        <v>1033</v>
      </c>
      <c r="B153" s="81" t="s">
        <v>1481</v>
      </c>
      <c r="C153" s="231">
        <f>IF(calculations!AA171=2,1,0)</f>
        <v>0</v>
      </c>
      <c r="D153" s="231" t="s">
        <v>1567</v>
      </c>
    </row>
    <row r="154" spans="1:6" ht="34.75" x14ac:dyDescent="0.3">
      <c r="A154" s="231" t="s">
        <v>1034</v>
      </c>
      <c r="B154" s="81" t="s">
        <v>1482</v>
      </c>
      <c r="C154" s="231">
        <f>IF(calculations!AA172=2,1,0)</f>
        <v>0</v>
      </c>
      <c r="D154" s="370" t="s">
        <v>1569</v>
      </c>
    </row>
    <row r="155" spans="1:6" ht="12.45" x14ac:dyDescent="0.3">
      <c r="A155" s="231" t="s">
        <v>1035</v>
      </c>
      <c r="B155" s="371" t="s">
        <v>1023</v>
      </c>
      <c r="C155" s="231">
        <f>IF(calculations!AA173=2, 1,0)</f>
        <v>0</v>
      </c>
      <c r="D155" s="231" t="s">
        <v>1573</v>
      </c>
      <c r="E155" s="360" t="str">
        <f>IF(calculations!AA173=2,CONCATENATE(D155," 1) ",D156," 2) ",D157," 3) ",D158," 4) ",D159),"")</f>
        <v/>
      </c>
    </row>
    <row r="156" spans="1:6" ht="12.45" x14ac:dyDescent="0.3">
      <c r="B156" s="371"/>
      <c r="C156" s="231">
        <f>IF(calculations!AA174=2,1,C155)</f>
        <v>0</v>
      </c>
      <c r="D156" s="231" t="s">
        <v>1571</v>
      </c>
      <c r="E156" s="360" t="str">
        <f>IF(calculations!AA174=2,CONCATENATE(D155,F156),E155)</f>
        <v/>
      </c>
      <c r="F156" s="231" t="str">
        <f>IF(calculations!AA174=2,CONCATENATE(E155," ",VALUE(C156),") ",D156),E155)</f>
        <v/>
      </c>
    </row>
    <row r="157" spans="1:6" ht="12.45" x14ac:dyDescent="0.3">
      <c r="B157" s="371"/>
      <c r="C157" s="231">
        <f>IF(calculations!AA175=2,1+C156,C156)</f>
        <v>0</v>
      </c>
      <c r="D157" s="231" t="s">
        <v>1570</v>
      </c>
      <c r="E157" s="360" t="str">
        <f>IF(calculations!AA175=2,CONCATENATE(D155,F157),E156)</f>
        <v/>
      </c>
      <c r="F157" s="231" t="str">
        <f>IF(calculations!AA175=2,CONCATENATE(F156," ",VALUE(C157),") ",D157),E156)</f>
        <v/>
      </c>
    </row>
    <row r="158" spans="1:6" ht="12.45" x14ac:dyDescent="0.3">
      <c r="B158" s="371"/>
      <c r="C158" s="231">
        <f>IF(calculations!AA176=2,1+C157,C157)</f>
        <v>0</v>
      </c>
      <c r="D158" s="231" t="s">
        <v>1572</v>
      </c>
      <c r="E158" s="360" t="str">
        <f>IF(calculations!AA176=2,CONCATENATE(D155,F158),E157)</f>
        <v/>
      </c>
      <c r="F158" s="231" t="str">
        <f>IF(calculations!AA176=2,CONCATENATE(F157," ",VALUE(C158),") ",D158),E157)</f>
        <v/>
      </c>
    </row>
    <row r="159" spans="1:6" ht="12.45" x14ac:dyDescent="0.3">
      <c r="B159" s="371"/>
      <c r="C159" s="231">
        <f>IF(calculations!AA177=2,1+C158,C158)</f>
        <v>0</v>
      </c>
      <c r="D159" s="231" t="s">
        <v>1761</v>
      </c>
      <c r="E159" s="360" t="str">
        <f>IF(calculations!AA177=2,CONCATENATE(D155,F159),E158)</f>
        <v/>
      </c>
      <c r="F159" s="231" t="str">
        <f>IF(calculations!AA177=2,CONCATENATE(F158," ",VALUE(C159),") ",D159),E158)</f>
        <v/>
      </c>
    </row>
    <row r="160" spans="1:6" ht="46.3" x14ac:dyDescent="0.3">
      <c r="A160" s="231" t="s">
        <v>1040</v>
      </c>
      <c r="B160" s="81" t="s">
        <v>1028</v>
      </c>
      <c r="C160" s="231">
        <f>IF(calculations!AA178=2,1,0)</f>
        <v>0</v>
      </c>
      <c r="D160" s="370" t="s">
        <v>1574</v>
      </c>
    </row>
    <row r="161" spans="1:5" ht="69.45" x14ac:dyDescent="0.3">
      <c r="A161" s="231" t="s">
        <v>23</v>
      </c>
      <c r="B161" s="81" t="s">
        <v>1483</v>
      </c>
      <c r="C161" s="231">
        <f>IF(calculations!AA179=2,1,0)</f>
        <v>0</v>
      </c>
      <c r="D161" s="351" t="s">
        <v>1591</v>
      </c>
    </row>
    <row r="162" spans="1:5" ht="12.45" x14ac:dyDescent="0.3">
      <c r="A162" s="231" t="s">
        <v>24</v>
      </c>
      <c r="B162" s="81" t="s">
        <v>1484</v>
      </c>
      <c r="C162" s="231">
        <f>IF(calculations!AA180=2,1,0)</f>
        <v>0</v>
      </c>
      <c r="D162" s="231" t="s">
        <v>1590</v>
      </c>
    </row>
    <row r="163" spans="1:5" ht="12.45" x14ac:dyDescent="0.3">
      <c r="A163" s="231" t="s">
        <v>25</v>
      </c>
      <c r="B163" s="81" t="s">
        <v>1485</v>
      </c>
      <c r="C163" s="231">
        <f>IF(calculations!AA181=2,1,0)</f>
        <v>0</v>
      </c>
      <c r="D163" s="231" t="s">
        <v>1592</v>
      </c>
    </row>
    <row r="164" spans="1:5" ht="26.25" customHeight="1" x14ac:dyDescent="0.3">
      <c r="A164" s="231" t="s">
        <v>26</v>
      </c>
      <c r="B164" s="81" t="s">
        <v>1486</v>
      </c>
      <c r="C164" s="231">
        <f>IF(calculations!AA182=2,1,0)</f>
        <v>0</v>
      </c>
      <c r="D164" s="370" t="s">
        <v>1593</v>
      </c>
    </row>
    <row r="165" spans="1:5" ht="12.45" x14ac:dyDescent="0.3">
      <c r="A165" s="231" t="s">
        <v>27</v>
      </c>
      <c r="B165" s="81" t="s">
        <v>1487</v>
      </c>
      <c r="C165" s="231">
        <f>IF(calculations!AA183=2,1,0)</f>
        <v>0</v>
      </c>
      <c r="D165" s="231" t="s">
        <v>1594</v>
      </c>
    </row>
    <row r="166" spans="1:5" ht="12.45" x14ac:dyDescent="0.3">
      <c r="A166" s="231" t="s">
        <v>310</v>
      </c>
      <c r="B166" s="81" t="s">
        <v>1488</v>
      </c>
      <c r="C166" s="231">
        <f>IF(calculations!AA184=2,1,0)</f>
        <v>0</v>
      </c>
      <c r="D166" s="231" t="s">
        <v>1595</v>
      </c>
    </row>
    <row r="167" spans="1:5" ht="34.75" x14ac:dyDescent="0.3">
      <c r="A167" s="231" t="s">
        <v>1046</v>
      </c>
      <c r="B167" s="81" t="s">
        <v>1489</v>
      </c>
      <c r="C167" s="231">
        <f>IF(calculations!AA185=2,1,0)</f>
        <v>0</v>
      </c>
      <c r="D167" s="370" t="s">
        <v>1596</v>
      </c>
    </row>
    <row r="168" spans="1:5" ht="12.45" x14ac:dyDescent="0.3">
      <c r="A168" s="231" t="s">
        <v>1661</v>
      </c>
      <c r="B168" s="81" t="s">
        <v>1490</v>
      </c>
      <c r="C168" s="231">
        <f>IF(calculations!AA194=2, 1,0)</f>
        <v>0</v>
      </c>
      <c r="D168" s="352" t="s">
        <v>1600</v>
      </c>
      <c r="E168" s="360" t="str">
        <f>IF(calculations!AA194=2,CONCATENATE("(",VALUE(C168),") ",D168),"")</f>
        <v/>
      </c>
    </row>
    <row r="169" spans="1:5" ht="12.45" x14ac:dyDescent="0.3">
      <c r="A169" s="231" t="s">
        <v>1663</v>
      </c>
      <c r="B169" s="81" t="s">
        <v>1556</v>
      </c>
      <c r="C169" s="231">
        <f>IF(calculations!AA195=2,1+C168,C168)</f>
        <v>0</v>
      </c>
      <c r="D169" s="352" t="s">
        <v>1603</v>
      </c>
      <c r="E169" s="360" t="str">
        <f>IF(calculations!AA195=2,CONCATENATE(E168,VALUE(C169),") ",D169),E168)</f>
        <v/>
      </c>
    </row>
    <row r="170" spans="1:5" ht="12.45" x14ac:dyDescent="0.3">
      <c r="A170" s="231" t="s">
        <v>1665</v>
      </c>
      <c r="B170" s="81" t="s">
        <v>1598</v>
      </c>
      <c r="C170" s="231">
        <f>IF(calculations!AA196=2,1+C169,C169)</f>
        <v>0</v>
      </c>
      <c r="D170" s="231" t="s">
        <v>1602</v>
      </c>
      <c r="E170" s="360" t="str">
        <f>IF(calculations!AA196=2,CONCATENATE(E169," ",VALUE(C170),") ",D170),E169)</f>
        <v/>
      </c>
    </row>
    <row r="171" spans="1:5" ht="12.45" x14ac:dyDescent="0.3">
      <c r="A171" s="231" t="s">
        <v>1671</v>
      </c>
      <c r="B171" s="81" t="s">
        <v>1599</v>
      </c>
      <c r="C171" s="231">
        <f>IF(calculations!AA203=2,1,0)</f>
        <v>0</v>
      </c>
      <c r="D171" s="231" t="s">
        <v>1604</v>
      </c>
    </row>
    <row r="172" spans="1:5" ht="12.45" x14ac:dyDescent="0.3">
      <c r="A172" s="231" t="s">
        <v>57</v>
      </c>
      <c r="B172" s="81" t="s">
        <v>1491</v>
      </c>
      <c r="C172" s="231">
        <f>IF(Camping!X263="no",1,0)</f>
        <v>0</v>
      </c>
      <c r="D172" s="231" t="s">
        <v>1605</v>
      </c>
      <c r="E172" s="360" t="str">
        <f>IF(Camping!X263="no",CONCATENATE(VALUE(C172),") ",D172),"")</f>
        <v/>
      </c>
    </row>
    <row r="173" spans="1:5" ht="12.45" x14ac:dyDescent="0.3">
      <c r="A173" s="231" t="s">
        <v>59</v>
      </c>
      <c r="B173" s="81" t="s">
        <v>1492</v>
      </c>
      <c r="C173" s="231">
        <f>IF(Camping!V267=1,1+C172,C172)</f>
        <v>0</v>
      </c>
      <c r="D173" s="231" t="s">
        <v>1608</v>
      </c>
      <c r="E173" s="360" t="str">
        <f>IF(Camping!V267=1,CONCATENATE(E172," ",VALUE(C173),") ",D173),E172)</f>
        <v/>
      </c>
    </row>
    <row r="174" spans="1:5" ht="12.45" x14ac:dyDescent="0.3">
      <c r="A174" s="231" t="s">
        <v>1677</v>
      </c>
      <c r="B174" s="81" t="s">
        <v>1493</v>
      </c>
      <c r="C174" s="231">
        <f>IF(Camping!AC267=1,1+C173,C173)</f>
        <v>0</v>
      </c>
      <c r="D174" s="231" t="s">
        <v>1609</v>
      </c>
      <c r="E174" s="360" t="str">
        <f>IF(Camping!AC267=1,CONCATENATE(E173," ",VALUE(C174),") ",D174),E173)</f>
        <v/>
      </c>
    </row>
    <row r="175" spans="1:5" ht="12.45" x14ac:dyDescent="0.3">
      <c r="A175" s="231" t="s">
        <v>1678</v>
      </c>
      <c r="B175" s="81" t="s">
        <v>1494</v>
      </c>
      <c r="C175" s="231">
        <f>IF(Camping!AN267="no",1+C174,C174)</f>
        <v>0</v>
      </c>
      <c r="D175" s="231" t="s">
        <v>1606</v>
      </c>
      <c r="E175" s="360" t="str">
        <f>IF(Camping!AN267="no",CONCATENATE(E174," ",VALUE(C175),") ",D175),E174)</f>
        <v/>
      </c>
    </row>
    <row r="176" spans="1:5" ht="12.45" x14ac:dyDescent="0.3">
      <c r="A176" s="231" t="s">
        <v>357</v>
      </c>
      <c r="B176" s="81" t="s">
        <v>1557</v>
      </c>
      <c r="C176" s="231">
        <f>IF(Camping!W269=1,1+C175,C175)</f>
        <v>0</v>
      </c>
      <c r="D176" s="231" t="s">
        <v>1610</v>
      </c>
      <c r="E176" s="360" t="str">
        <f>IF(Camping!W269=1,CONCATENATE(E175," ",VALUE(C176),") ",D176),E175)</f>
        <v/>
      </c>
    </row>
    <row r="177" spans="1:6" ht="12.45" x14ac:dyDescent="0.3">
      <c r="A177" s="231" t="s">
        <v>65</v>
      </c>
      <c r="B177" s="81" t="s">
        <v>1495</v>
      </c>
      <c r="C177" s="231">
        <f>IF(Camping!AP285="no",1,0)</f>
        <v>0</v>
      </c>
      <c r="D177" s="231" t="s">
        <v>1759</v>
      </c>
    </row>
    <row r="178" spans="1:6" ht="12.45" x14ac:dyDescent="0.3">
      <c r="B178" s="81"/>
      <c r="D178" s="231" t="s">
        <v>1611</v>
      </c>
    </row>
    <row r="179" spans="1:6" ht="12.45" x14ac:dyDescent="0.3">
      <c r="A179" s="231" t="s">
        <v>68</v>
      </c>
      <c r="B179" s="81" t="s">
        <v>1496</v>
      </c>
      <c r="C179" s="231">
        <f>IF(calculations!AA231=2,2,0)</f>
        <v>0</v>
      </c>
      <c r="D179" s="231" t="s">
        <v>1613</v>
      </c>
      <c r="E179" s="360" t="str">
        <f>IF(C179=2,CONCATENATE(D178," ",F179,"."),"")</f>
        <v/>
      </c>
      <c r="F179" s="231" t="str">
        <f>IF(C179=2,CONCATENATE(E178,D179),"")</f>
        <v/>
      </c>
    </row>
    <row r="180" spans="1:6" ht="12.45" x14ac:dyDescent="0.3">
      <c r="A180" s="231" t="s">
        <v>265</v>
      </c>
      <c r="B180" s="81" t="s">
        <v>1090</v>
      </c>
      <c r="C180" s="231">
        <f>IF(calculations!AA232=2,1+C179,C179)</f>
        <v>0</v>
      </c>
      <c r="D180" s="231" t="s">
        <v>1612</v>
      </c>
      <c r="E180" s="360" t="str">
        <f>IF(C180&gt;C179,CONCATENATE(D178," ",F180,"."),E179)</f>
        <v/>
      </c>
      <c r="F180" s="231" t="str">
        <f>IF(C180&gt;C179,CONCATENATE(F179,"  ",VALUE(C180),") ",D180),IF(calculations!AA232=2,CONCATENATE("1) ",D180),F179))</f>
        <v/>
      </c>
    </row>
    <row r="181" spans="1:6" ht="12.45" x14ac:dyDescent="0.3">
      <c r="A181" s="231" t="s">
        <v>266</v>
      </c>
      <c r="B181" s="81" t="s">
        <v>1497</v>
      </c>
      <c r="C181" s="231">
        <f>IF(calculations!AA233=2,1+C180,C180)</f>
        <v>0</v>
      </c>
      <c r="D181" s="231" t="s">
        <v>2015</v>
      </c>
      <c r="E181" s="360" t="str">
        <f>IF(C181&gt;C180,CONCATENATE(D178," ",F181,"."),E180)</f>
        <v/>
      </c>
      <c r="F181" s="231" t="str">
        <f>IF(C181&gt;C180,CONCATENATE(F180,"  ",VALUE(C181),") ",D181),F180)</f>
        <v/>
      </c>
    </row>
    <row r="182" spans="1:6" ht="12.45" x14ac:dyDescent="0.3">
      <c r="A182" s="231" t="s">
        <v>1453</v>
      </c>
      <c r="B182" s="81" t="s">
        <v>1498</v>
      </c>
      <c r="C182" s="231">
        <f>IF(calculations!AA234=2,1+C181,C181)</f>
        <v>0</v>
      </c>
      <c r="D182" s="231" t="s">
        <v>1849</v>
      </c>
      <c r="E182" s="360" t="str">
        <f>IF(C182&gt;C181,CONCATENATE(D178," ",F182,"."),E181)</f>
        <v/>
      </c>
      <c r="F182" s="231" t="str">
        <f>IF(C182=1,CONCATENATE(VALUE(C182),") ",D182),IF(C182&gt;C181,CONCATENATE(F181,"  ",VALUE(C182),") ",D182),F181))</f>
        <v/>
      </c>
    </row>
    <row r="183" spans="1:6" ht="12.45" x14ac:dyDescent="0.3">
      <c r="B183" s="81"/>
      <c r="D183" s="231" t="s">
        <v>1614</v>
      </c>
      <c r="E183" s="360"/>
    </row>
    <row r="184" spans="1:6" ht="12.45" x14ac:dyDescent="0.3">
      <c r="A184" s="231" t="s">
        <v>270</v>
      </c>
      <c r="B184" s="81" t="s">
        <v>1499</v>
      </c>
      <c r="C184" s="231">
        <f>IF(calculations!AA239=2,2,0)</f>
        <v>0</v>
      </c>
      <c r="D184" s="231" t="s">
        <v>1613</v>
      </c>
      <c r="E184" s="360" t="str">
        <f>IF(C184=2,CONCATENATE(D183," ",F184,"."),"")</f>
        <v/>
      </c>
      <c r="F184" s="231" t="str">
        <f>IF(C184=2,CONCATENATE(E183,D184),"")</f>
        <v/>
      </c>
    </row>
    <row r="185" spans="1:6" ht="12.45" x14ac:dyDescent="0.3">
      <c r="A185" s="231" t="s">
        <v>271</v>
      </c>
      <c r="B185" s="81" t="s">
        <v>1090</v>
      </c>
      <c r="C185" s="231">
        <f>IF(calculations!AA240=2,1+C184,C184)</f>
        <v>0</v>
      </c>
      <c r="D185" s="231" t="s">
        <v>1612</v>
      </c>
      <c r="E185" s="360" t="str">
        <f>IF(C185&gt;C184,CONCATENATE(D183," ",F185,"."),E184)</f>
        <v/>
      </c>
      <c r="F185" s="231" t="str">
        <f>IF(C185&gt;C184,CONCATENATE(F184,"  ",VALUE(C185),") ",D185),IF(calculations!AA237=2,CONCATENATE("1) ",D185),F184))</f>
        <v/>
      </c>
    </row>
    <row r="186" spans="1:6" ht="12.45" x14ac:dyDescent="0.3">
      <c r="A186" s="231" t="s">
        <v>272</v>
      </c>
      <c r="B186" s="81" t="s">
        <v>1500</v>
      </c>
      <c r="C186" s="231">
        <f>IF(calculations!AA241=2,1+C185,C185)</f>
        <v>0</v>
      </c>
      <c r="D186" s="231" t="s">
        <v>1615</v>
      </c>
      <c r="E186" s="360" t="str">
        <f>IF(C186&gt;C185,CONCATENATE(D183," ",F186,"."),E185)</f>
        <v/>
      </c>
      <c r="F186" s="231" t="str">
        <f>IF(C186&gt;C185,CONCATENATE(F185,"  ",VALUE(C186),") ",D186),F185)</f>
        <v/>
      </c>
    </row>
    <row r="187" spans="1:6" ht="12.45" x14ac:dyDescent="0.3">
      <c r="A187" s="231" t="s">
        <v>1679</v>
      </c>
      <c r="B187" s="81" t="s">
        <v>1501</v>
      </c>
      <c r="C187" s="231">
        <f>IF(calculations!AA248="no",1,0)</f>
        <v>0</v>
      </c>
      <c r="D187" s="231" t="s">
        <v>1616</v>
      </c>
      <c r="E187" s="360" t="str">
        <f>IF(calculations!AA248="no",CONCATENATE(VALUE(C187),") ",D187),"")</f>
        <v/>
      </c>
    </row>
    <row r="188" spans="1:6" ht="12.45" x14ac:dyDescent="0.3">
      <c r="A188" s="231" t="s">
        <v>1680</v>
      </c>
      <c r="B188" s="81" t="s">
        <v>1502</v>
      </c>
      <c r="C188" s="231">
        <f>IF(calculations!AA249="no",1+C187,C187)</f>
        <v>0</v>
      </c>
      <c r="D188" s="231" t="s">
        <v>1617</v>
      </c>
      <c r="E188" s="360" t="str">
        <f>IF(calculations!AA249="no",CONCATENATE(E187," ",VALUE(C188),") ",D188),E187)</f>
        <v/>
      </c>
    </row>
    <row r="189" spans="1:6" ht="12.45" x14ac:dyDescent="0.3">
      <c r="A189" s="231" t="s">
        <v>1458</v>
      </c>
      <c r="B189" s="81" t="s">
        <v>1503</v>
      </c>
      <c r="C189" s="231">
        <f>IF(calculations!AA250="no",1+C188,C188)</f>
        <v>0</v>
      </c>
      <c r="D189" s="231" t="s">
        <v>1618</v>
      </c>
      <c r="E189" s="360" t="str">
        <f>IF(calculations!AA250="no",CONCATENATE(E188," ",VALUE(C189),") ",D189),E188)</f>
        <v/>
      </c>
    </row>
    <row r="190" spans="1:6" ht="12.45" x14ac:dyDescent="0.3">
      <c r="A190" s="231" t="s">
        <v>1675</v>
      </c>
      <c r="B190" s="81" t="s">
        <v>1560</v>
      </c>
      <c r="C190" s="231">
        <f>IF(Camping!J366&gt;"",1,0)</f>
        <v>0</v>
      </c>
      <c r="D190" s="231" t="str">
        <f>IF(Camping!J366&gt;"",Camping!J366,"")</f>
        <v/>
      </c>
    </row>
    <row r="191" spans="1:6" ht="12.45" x14ac:dyDescent="0.3">
      <c r="A191" s="231" t="s">
        <v>277</v>
      </c>
      <c r="B191" s="81" t="s">
        <v>1522</v>
      </c>
      <c r="C191" s="231" t="s">
        <v>170</v>
      </c>
      <c r="D191" s="231" t="s">
        <v>1548</v>
      </c>
    </row>
    <row r="192" spans="1:6" ht="12.45" x14ac:dyDescent="0.3">
      <c r="A192" s="231" t="s">
        <v>278</v>
      </c>
      <c r="B192" s="81" t="s">
        <v>1522</v>
      </c>
      <c r="C192" s="231" t="s">
        <v>171</v>
      </c>
      <c r="D192" s="231" t="s">
        <v>1548</v>
      </c>
    </row>
    <row r="193" spans="1:5" ht="12.45" x14ac:dyDescent="0.3">
      <c r="A193" s="231" t="s">
        <v>283</v>
      </c>
      <c r="B193" s="81" t="s">
        <v>1520</v>
      </c>
      <c r="C193" s="231" t="s">
        <v>170</v>
      </c>
      <c r="D193" s="231" t="s">
        <v>1848</v>
      </c>
      <c r="E193" s="231"/>
    </row>
    <row r="194" spans="1:5" ht="12.45" x14ac:dyDescent="0.3">
      <c r="A194" s="231" t="s">
        <v>196</v>
      </c>
      <c r="B194" s="81" t="s">
        <v>1520</v>
      </c>
      <c r="C194" s="231" t="s">
        <v>171</v>
      </c>
      <c r="D194" s="231" t="s">
        <v>1848</v>
      </c>
      <c r="E194" s="231"/>
    </row>
    <row r="195" spans="1:5" ht="12.45" x14ac:dyDescent="0.3">
      <c r="A195" s="231" t="s">
        <v>223</v>
      </c>
      <c r="B195" s="81" t="s">
        <v>1531</v>
      </c>
      <c r="C195" s="231" t="s">
        <v>170</v>
      </c>
      <c r="D195" s="231" t="s">
        <v>1542</v>
      </c>
    </row>
    <row r="196" spans="1:5" ht="12.45" x14ac:dyDescent="0.3">
      <c r="A196" s="231" t="s">
        <v>224</v>
      </c>
      <c r="B196" s="81" t="s">
        <v>1531</v>
      </c>
      <c r="C196" s="231" t="s">
        <v>171</v>
      </c>
      <c r="D196" s="231" t="s">
        <v>1542</v>
      </c>
    </row>
    <row r="197" spans="1:5" ht="12.45" x14ac:dyDescent="0.3">
      <c r="A197" s="231" t="s">
        <v>229</v>
      </c>
      <c r="B197" s="81" t="s">
        <v>723</v>
      </c>
      <c r="C197" s="231" t="s">
        <v>170</v>
      </c>
      <c r="D197" s="231" t="s">
        <v>1543</v>
      </c>
    </row>
    <row r="198" spans="1:5" ht="12.45" x14ac:dyDescent="0.3">
      <c r="A198" s="231" t="s">
        <v>230</v>
      </c>
      <c r="B198" s="81" t="s">
        <v>723</v>
      </c>
      <c r="C198" s="231" t="s">
        <v>171</v>
      </c>
      <c r="D198" s="231" t="s">
        <v>1543</v>
      </c>
    </row>
    <row r="199" spans="1:5" ht="12.45" x14ac:dyDescent="0.3">
      <c r="A199" s="231" t="s">
        <v>1829</v>
      </c>
      <c r="B199" s="81" t="s">
        <v>1530</v>
      </c>
      <c r="C199" s="231" t="s">
        <v>170</v>
      </c>
      <c r="D199" s="231" t="s">
        <v>1845</v>
      </c>
    </row>
    <row r="200" spans="1:5" ht="12.45" x14ac:dyDescent="0.3">
      <c r="A200" s="231" t="s">
        <v>1830</v>
      </c>
      <c r="B200" s="81" t="s">
        <v>1530</v>
      </c>
      <c r="C200" s="231" t="s">
        <v>171</v>
      </c>
      <c r="D200" s="231" t="s">
        <v>1845</v>
      </c>
    </row>
    <row r="201" spans="1:5" ht="39" customHeight="1" x14ac:dyDescent="0.3">
      <c r="A201" s="231" t="s">
        <v>365</v>
      </c>
      <c r="B201" s="81" t="s">
        <v>1504</v>
      </c>
      <c r="C201" s="231">
        <f>IF(calculations!AA256=2,1,0)</f>
        <v>0</v>
      </c>
      <c r="D201" s="370" t="s">
        <v>1853</v>
      </c>
      <c r="E201" s="360" t="str">
        <f>IF(calculations!AA256=2,CONCATENATE(VALUE(C201),") ",D201),"")</f>
        <v/>
      </c>
    </row>
    <row r="202" spans="1:5" ht="46.3" x14ac:dyDescent="0.3">
      <c r="A202" s="231" t="s">
        <v>366</v>
      </c>
      <c r="B202" s="81" t="s">
        <v>1505</v>
      </c>
      <c r="C202" s="231">
        <f>IF(calculations!AA257=2,C201+1,C201)</f>
        <v>0</v>
      </c>
      <c r="D202" s="370" t="s">
        <v>1851</v>
      </c>
      <c r="E202" s="360" t="str">
        <f>IF(calculations!AA257=2,CONCATENATE(E201," ",VALUE(C202),") ",D202),E201)</f>
        <v/>
      </c>
    </row>
    <row r="203" spans="1:5" ht="46.3" x14ac:dyDescent="0.3">
      <c r="A203" s="231" t="s">
        <v>1366</v>
      </c>
      <c r="B203" s="81" t="s">
        <v>1347</v>
      </c>
      <c r="C203" s="231">
        <f>IF(calculations!AA258=2,1+C202,C202)</f>
        <v>0</v>
      </c>
      <c r="D203" s="370" t="s">
        <v>1852</v>
      </c>
      <c r="E203" s="360" t="str">
        <f>IF(calculations!AA258=2,CONCATENATE(E202," ",VALUE(C203),") ",D203),E202)</f>
        <v/>
      </c>
    </row>
    <row r="204" spans="1:5" ht="12.45" x14ac:dyDescent="0.3">
      <c r="A204" s="231" t="s">
        <v>1367</v>
      </c>
      <c r="B204" s="81" t="s">
        <v>1506</v>
      </c>
      <c r="C204" s="231">
        <f>IF(calculations!AA259=2,1+C203,C203)</f>
        <v>0</v>
      </c>
      <c r="D204" s="231" t="s">
        <v>1619</v>
      </c>
      <c r="E204" s="360" t="str">
        <f>IF(calculations!AA259=2,CONCATENATE(E203," ",VALUE(C204),") ",D204),E203)</f>
        <v/>
      </c>
    </row>
    <row r="205" spans="1:5" ht="12.45" x14ac:dyDescent="0.3">
      <c r="A205" s="231" t="s">
        <v>368</v>
      </c>
      <c r="B205" s="81" t="s">
        <v>1353</v>
      </c>
      <c r="C205" s="231">
        <f>IF(calculations!AA262=2,1,0)</f>
        <v>0</v>
      </c>
      <c r="D205" s="231" t="s">
        <v>1620</v>
      </c>
      <c r="E205" s="360" t="str">
        <f>IF(calculations!AA262=2,CONCATENATE(VALUE(C205),") ",D205),"")</f>
        <v/>
      </c>
    </row>
    <row r="206" spans="1:5" ht="12.45" x14ac:dyDescent="0.3">
      <c r="A206" s="231" t="s">
        <v>369</v>
      </c>
      <c r="B206" s="81" t="s">
        <v>1507</v>
      </c>
      <c r="C206" s="231">
        <f>IF(calculations!AA263=2,1+C205,C205)</f>
        <v>0</v>
      </c>
      <c r="D206" s="231" t="s">
        <v>1621</v>
      </c>
      <c r="E206" s="360" t="str">
        <f>IF(calculations!AA263=2,CONCATENATE(E205," ",VALUE(C206),") ",D206),E205)</f>
        <v/>
      </c>
    </row>
    <row r="207" spans="1:5" ht="12.45" x14ac:dyDescent="0.3">
      <c r="A207" s="231" t="s">
        <v>370</v>
      </c>
      <c r="B207" s="81" t="s">
        <v>1355</v>
      </c>
      <c r="C207" s="231">
        <f>IF(calculations!AA264=2,1+C206,C206)</f>
        <v>0</v>
      </c>
      <c r="D207" s="231" t="s">
        <v>1622</v>
      </c>
      <c r="E207" s="360" t="str">
        <f>IF(calculations!AA264=2,CONCATENATE(E206," ",VALUE(C207),") ",D207),E206)</f>
        <v/>
      </c>
    </row>
    <row r="208" spans="1:5" ht="12.45" x14ac:dyDescent="0.3">
      <c r="A208" s="231" t="s">
        <v>371</v>
      </c>
      <c r="B208" s="81" t="s">
        <v>1508</v>
      </c>
      <c r="C208" s="231">
        <f>IF(calculations!AA265=2,1+C207,C207)</f>
        <v>0</v>
      </c>
      <c r="D208" s="231" t="s">
        <v>2017</v>
      </c>
      <c r="E208" s="360" t="str">
        <f>IF(calculations!AA265=2,CONCATENATE(E207," ",VALUE(C208),") ",D208),E207)</f>
        <v/>
      </c>
    </row>
    <row r="209" spans="1:5" ht="12.45" x14ac:dyDescent="0.3">
      <c r="A209" s="231" t="s">
        <v>1368</v>
      </c>
      <c r="B209" s="81" t="s">
        <v>1509</v>
      </c>
      <c r="C209" s="231">
        <f>IF(calculations!AA266=2,1+C208,C208)</f>
        <v>0</v>
      </c>
      <c r="D209" s="231" t="s">
        <v>2016</v>
      </c>
      <c r="E209" s="360" t="str">
        <f>IF(calculations!AA266=2,CONCATENATE(E208," ",VALUE(C209),") ",D209),E208)</f>
        <v/>
      </c>
    </row>
    <row r="210" spans="1:5" ht="12.45" x14ac:dyDescent="0.3">
      <c r="A210" s="231" t="s">
        <v>1369</v>
      </c>
      <c r="B210" s="81" t="s">
        <v>1510</v>
      </c>
      <c r="C210" s="231">
        <f>IF(calculations!AA267=2,1+C209,C209)</f>
        <v>0</v>
      </c>
      <c r="D210" s="231" t="s">
        <v>1623</v>
      </c>
      <c r="E210" s="360" t="str">
        <f>IF(calculations!AA267=2,CONCATENATE(E209," ",VALUE(C210),") ",D210),E209)</f>
        <v/>
      </c>
    </row>
    <row r="211" spans="1:5" ht="12.45" x14ac:dyDescent="0.3">
      <c r="A211" s="231" t="s">
        <v>1370</v>
      </c>
      <c r="B211" s="81" t="s">
        <v>1511</v>
      </c>
      <c r="C211" s="231">
        <f>IF(calculations!AA268=2,1+C210,C210)</f>
        <v>0</v>
      </c>
      <c r="D211" s="231" t="s">
        <v>2018</v>
      </c>
      <c r="E211" s="360" t="str">
        <f>IF(calculations!AA268=2,CONCATENATE(E210," ",VALUE(C211),") ",D211),E210)</f>
        <v/>
      </c>
    </row>
    <row r="212" spans="1:5" ht="12.45" x14ac:dyDescent="0.3">
      <c r="A212" s="231" t="s">
        <v>1371</v>
      </c>
      <c r="B212" s="81" t="s">
        <v>1360</v>
      </c>
      <c r="C212" s="231">
        <f>IF(calculations!AA269=2,1+C211,C211)</f>
        <v>0</v>
      </c>
      <c r="D212" s="231" t="s">
        <v>2019</v>
      </c>
      <c r="E212" s="360" t="str">
        <f>IF(calculations!AA269=2,CONCATENATE(E211," ",VALUE(C212),") ",D212),E211)</f>
        <v/>
      </c>
    </row>
    <row r="213" spans="1:5" ht="12.45" x14ac:dyDescent="0.3">
      <c r="A213" s="231" t="s">
        <v>376</v>
      </c>
      <c r="B213" s="81" t="s">
        <v>1512</v>
      </c>
      <c r="C213" s="231">
        <f>IF(Camping!M511="no",1,0)</f>
        <v>0</v>
      </c>
      <c r="D213" s="231" t="s">
        <v>1846</v>
      </c>
      <c r="E213" s="360" t="str">
        <f>IF(C213=1,CONCATENATE(VALUE(C213),") ",D213),"")</f>
        <v/>
      </c>
    </row>
    <row r="214" spans="1:5" ht="12.45" x14ac:dyDescent="0.3">
      <c r="A214" s="231" t="s">
        <v>1631</v>
      </c>
      <c r="B214" s="81" t="s">
        <v>1847</v>
      </c>
      <c r="C214" s="231">
        <f>IF(Camping!M511="no",C213,IF(Camping!X513=1,1+C213,C213))</f>
        <v>0</v>
      </c>
      <c r="D214" s="231" t="s">
        <v>1630</v>
      </c>
      <c r="E214" s="360" t="str">
        <f>IF(C214&gt;C213,CONCATENATE(E213," ",VALUE(C214),") ",D214),E213)</f>
        <v/>
      </c>
    </row>
    <row r="215" spans="1:5" ht="12.45" x14ac:dyDescent="0.3">
      <c r="A215" s="231" t="s">
        <v>1373</v>
      </c>
      <c r="B215" s="81" t="s">
        <v>1513</v>
      </c>
      <c r="C215" s="231">
        <f>IF(Camping!M515="no schedule",1+C214,IF(Camping!AB515=1,1+C214,C214))</f>
        <v>0</v>
      </c>
      <c r="D215" s="231" t="s">
        <v>1629</v>
      </c>
      <c r="E215" s="360" t="str">
        <f>IF(C215&gt;C214,CONCATENATE(E214," ",VALUE(C215),") ",D215),E214)</f>
        <v/>
      </c>
    </row>
    <row r="216" spans="1:5" ht="12.45" x14ac:dyDescent="0.3">
      <c r="A216" s="231" t="s">
        <v>1374</v>
      </c>
      <c r="B216" s="81" t="s">
        <v>1514</v>
      </c>
      <c r="C216" s="231">
        <f>IF(Camping!V517=1,1+C215,C215)</f>
        <v>0</v>
      </c>
      <c r="D216" s="231" t="s">
        <v>1624</v>
      </c>
      <c r="E216" s="360" t="str">
        <f>IF(C216&gt;C215,CONCATENATE(E215," ",VALUE(C216),") ",D216),E215)</f>
        <v/>
      </c>
    </row>
    <row r="217" spans="1:5" ht="12.45" x14ac:dyDescent="0.3">
      <c r="A217" s="231" t="s">
        <v>1380</v>
      </c>
      <c r="B217" s="81" t="s">
        <v>1516</v>
      </c>
      <c r="C217" s="231" t="s">
        <v>170</v>
      </c>
      <c r="D217" s="231" t="s">
        <v>1544</v>
      </c>
    </row>
    <row r="218" spans="1:5" ht="12.45" x14ac:dyDescent="0.3">
      <c r="A218" s="231" t="s">
        <v>1379</v>
      </c>
      <c r="B218" s="81" t="s">
        <v>1516</v>
      </c>
      <c r="C218" s="231" t="s">
        <v>171</v>
      </c>
      <c r="D218" s="231" t="s">
        <v>1544</v>
      </c>
    </row>
    <row r="219" spans="1:5" ht="12.45" x14ac:dyDescent="0.3">
      <c r="A219" s="231" t="s">
        <v>1388</v>
      </c>
      <c r="B219" s="81" t="s">
        <v>1517</v>
      </c>
      <c r="C219" s="231" t="s">
        <v>170</v>
      </c>
      <c r="D219" s="231" t="s">
        <v>1545</v>
      </c>
    </row>
    <row r="220" spans="1:5" ht="12.45" x14ac:dyDescent="0.3">
      <c r="A220" s="231" t="s">
        <v>1389</v>
      </c>
      <c r="B220" s="81" t="s">
        <v>1517</v>
      </c>
      <c r="C220" s="231" t="s">
        <v>171</v>
      </c>
      <c r="D220" s="231" t="s">
        <v>1545</v>
      </c>
    </row>
    <row r="221" spans="1:5" ht="12.45" x14ac:dyDescent="0.3">
      <c r="A221" s="231" t="s">
        <v>1394</v>
      </c>
      <c r="B221" s="81" t="s">
        <v>559</v>
      </c>
      <c r="C221" s="231" t="s">
        <v>170</v>
      </c>
      <c r="D221" s="354" t="s">
        <v>1555</v>
      </c>
    </row>
    <row r="222" spans="1:5" ht="12.45" x14ac:dyDescent="0.3">
      <c r="A222" s="231" t="s">
        <v>1395</v>
      </c>
      <c r="B222" s="81" t="s">
        <v>559</v>
      </c>
      <c r="C222" s="231" t="s">
        <v>171</v>
      </c>
      <c r="D222" s="354" t="s">
        <v>1555</v>
      </c>
    </row>
    <row r="223" spans="1:5" ht="12.45" x14ac:dyDescent="0.3">
      <c r="A223" s="231" t="s">
        <v>1468</v>
      </c>
      <c r="B223" s="81" t="s">
        <v>1518</v>
      </c>
      <c r="C223" s="231" t="s">
        <v>170</v>
      </c>
      <c r="D223" s="256" t="s">
        <v>1582</v>
      </c>
    </row>
    <row r="224" spans="1:5" ht="12.45" x14ac:dyDescent="0.3">
      <c r="A224" s="231" t="s">
        <v>1469</v>
      </c>
      <c r="B224" s="81" t="s">
        <v>1518</v>
      </c>
      <c r="C224" s="231" t="s">
        <v>171</v>
      </c>
      <c r="D224" s="256" t="s">
        <v>1582</v>
      </c>
    </row>
    <row r="225" spans="1:4" ht="12.45" x14ac:dyDescent="0.3">
      <c r="A225" s="231" t="s">
        <v>1400</v>
      </c>
      <c r="B225" s="81" t="s">
        <v>1519</v>
      </c>
      <c r="C225" s="231" t="s">
        <v>170</v>
      </c>
      <c r="D225" s="231" t="s">
        <v>1546</v>
      </c>
    </row>
    <row r="226" spans="1:4" ht="12.45" x14ac:dyDescent="0.3">
      <c r="A226" s="231" t="s">
        <v>1401</v>
      </c>
      <c r="B226" s="81" t="s">
        <v>1519</v>
      </c>
      <c r="C226" s="231" t="s">
        <v>171</v>
      </c>
      <c r="D226" s="231" t="s">
        <v>1546</v>
      </c>
    </row>
    <row r="227" spans="1:4" ht="12.45" x14ac:dyDescent="0.3">
      <c r="A227" s="231" t="s">
        <v>1403</v>
      </c>
      <c r="B227" s="81" t="s">
        <v>1521</v>
      </c>
      <c r="C227" s="231" t="s">
        <v>170</v>
      </c>
      <c r="D227" s="231" t="s">
        <v>1547</v>
      </c>
    </row>
    <row r="228" spans="1:4" ht="12.45" x14ac:dyDescent="0.3">
      <c r="A228" s="231" t="s">
        <v>1407</v>
      </c>
      <c r="B228" s="81" t="s">
        <v>1521</v>
      </c>
      <c r="C228" s="231" t="s">
        <v>171</v>
      </c>
      <c r="D228" s="231" t="s">
        <v>1547</v>
      </c>
    </row>
    <row r="229" spans="1:4" ht="12.45" x14ac:dyDescent="0.3">
      <c r="A229" s="231" t="s">
        <v>1413</v>
      </c>
      <c r="B229" s="81" t="s">
        <v>1523</v>
      </c>
      <c r="C229" s="231" t="s">
        <v>170</v>
      </c>
      <c r="D229" s="231" t="s">
        <v>1549</v>
      </c>
    </row>
    <row r="230" spans="1:4" ht="12.45" x14ac:dyDescent="0.3">
      <c r="A230" s="231" t="s">
        <v>1821</v>
      </c>
      <c r="B230" s="81" t="s">
        <v>1523</v>
      </c>
      <c r="C230" s="231" t="s">
        <v>171</v>
      </c>
      <c r="D230" s="231" t="s">
        <v>1549</v>
      </c>
    </row>
    <row r="231" spans="1:4" ht="12.45" x14ac:dyDescent="0.3">
      <c r="A231" s="231" t="s">
        <v>1418</v>
      </c>
      <c r="B231" s="81" t="s">
        <v>1524</v>
      </c>
      <c r="C231" s="231" t="s">
        <v>170</v>
      </c>
      <c r="D231" s="231" t="s">
        <v>1550</v>
      </c>
    </row>
    <row r="232" spans="1:4" ht="12.45" x14ac:dyDescent="0.3">
      <c r="A232" s="231" t="s">
        <v>1419</v>
      </c>
      <c r="B232" s="81" t="s">
        <v>1524</v>
      </c>
      <c r="C232" s="231" t="s">
        <v>171</v>
      </c>
      <c r="D232" s="231" t="s">
        <v>1550</v>
      </c>
    </row>
    <row r="233" spans="1:4" ht="12.45" x14ac:dyDescent="0.3">
      <c r="A233" s="231" t="s">
        <v>1425</v>
      </c>
      <c r="B233" s="81" t="s">
        <v>1525</v>
      </c>
      <c r="C233" s="231" t="s">
        <v>170</v>
      </c>
      <c r="D233" s="231" t="s">
        <v>1551</v>
      </c>
    </row>
    <row r="234" spans="1:4" ht="12.45" x14ac:dyDescent="0.3">
      <c r="A234" s="231" t="s">
        <v>1426</v>
      </c>
      <c r="B234" s="81" t="s">
        <v>1526</v>
      </c>
      <c r="C234" s="231" t="s">
        <v>171</v>
      </c>
      <c r="D234" s="231" t="s">
        <v>1551</v>
      </c>
    </row>
    <row r="235" spans="1:4" ht="12.45" x14ac:dyDescent="0.3">
      <c r="A235" s="231" t="s">
        <v>1432</v>
      </c>
      <c r="B235" s="81" t="s">
        <v>1527</v>
      </c>
      <c r="C235" s="231" t="s">
        <v>170</v>
      </c>
      <c r="D235" s="231" t="s">
        <v>1552</v>
      </c>
    </row>
    <row r="236" spans="1:4" ht="12.45" x14ac:dyDescent="0.3">
      <c r="A236" s="231" t="s">
        <v>1822</v>
      </c>
      <c r="B236" s="81" t="s">
        <v>1527</v>
      </c>
      <c r="C236" s="231" t="s">
        <v>171</v>
      </c>
      <c r="D236" s="231" t="s">
        <v>1552</v>
      </c>
    </row>
    <row r="237" spans="1:4" ht="12.45" x14ac:dyDescent="0.3">
      <c r="A237" s="231" t="s">
        <v>1465</v>
      </c>
      <c r="B237" s="81" t="s">
        <v>1528</v>
      </c>
      <c r="C237" s="231" t="s">
        <v>170</v>
      </c>
      <c r="D237" s="231" t="s">
        <v>1553</v>
      </c>
    </row>
    <row r="238" spans="1:4" ht="12.45" x14ac:dyDescent="0.3">
      <c r="A238" s="231" t="s">
        <v>1466</v>
      </c>
      <c r="B238" s="81" t="s">
        <v>1528</v>
      </c>
      <c r="C238" s="231" t="s">
        <v>171</v>
      </c>
      <c r="D238" s="231" t="s">
        <v>1553</v>
      </c>
    </row>
    <row r="239" spans="1:4" ht="12.45" x14ac:dyDescent="0.3">
      <c r="A239" s="231" t="s">
        <v>1437</v>
      </c>
      <c r="B239" s="81" t="s">
        <v>1085</v>
      </c>
      <c r="C239" s="231" t="s">
        <v>170</v>
      </c>
      <c r="D239" s="231" t="str">
        <f>IF(calculations!F197,"Assumption of risk and informed consent agreements should be required from parents of campers and all adult guests.","Parents of campers and adult guests should sign a waiver / release of rights / covenant not to sue document.")</f>
        <v>Parents of campers and adult guests should sign a waiver / release of rights / covenant not to sue document.</v>
      </c>
    </row>
    <row r="240" spans="1:4" ht="12.45" x14ac:dyDescent="0.3">
      <c r="A240" s="231" t="s">
        <v>1438</v>
      </c>
      <c r="B240" s="81" t="s">
        <v>1085</v>
      </c>
      <c r="C240" s="231" t="s">
        <v>171</v>
      </c>
      <c r="D240" s="231" t="str">
        <f>IF(calculations!F197,"Assumption of risk and informed consent agreements should be required from parents of campers and all adult guests.","Parents of campers and adult guests should sign a waiver / release of rights / covenant not to sue document.")</f>
        <v>Parents of campers and adult guests should sign a waiver / release of rights / covenant not to sue document.</v>
      </c>
    </row>
    <row r="241" spans="1:4" ht="12.45" x14ac:dyDescent="0.3">
      <c r="A241" s="231" t="s">
        <v>1444</v>
      </c>
      <c r="B241" s="81" t="s">
        <v>1529</v>
      </c>
      <c r="C241" s="231" t="s">
        <v>170</v>
      </c>
      <c r="D241" s="231" t="s">
        <v>1554</v>
      </c>
    </row>
    <row r="242" spans="1:4" ht="12.45" x14ac:dyDescent="0.3">
      <c r="A242" s="231" t="s">
        <v>1445</v>
      </c>
      <c r="B242" s="81" t="s">
        <v>1515</v>
      </c>
      <c r="C242" s="231" t="s">
        <v>171</v>
      </c>
      <c r="D242" s="231" t="s">
        <v>1554</v>
      </c>
    </row>
  </sheetData>
  <phoneticPr fontId="2" type="noConversion"/>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U1830"/>
  <sheetViews>
    <sheetView showZeros="0" topLeftCell="Q235" zoomScale="85" workbookViewId="0">
      <selection activeCell="AA272" sqref="AA272"/>
    </sheetView>
  </sheetViews>
  <sheetFormatPr defaultColWidth="2.4609375" defaultRowHeight="12.45" x14ac:dyDescent="0.3"/>
  <cols>
    <col min="1" max="1" width="25" style="81" customWidth="1"/>
    <col min="2" max="2" width="2.4609375" style="81" customWidth="1"/>
    <col min="3" max="3" width="23.4609375" style="81" customWidth="1"/>
    <col min="4" max="4" width="6.4609375" style="81" customWidth="1"/>
    <col min="5" max="5" width="8" style="386" customWidth="1"/>
    <col min="6" max="6" width="2.4609375" style="81" customWidth="1"/>
    <col min="7" max="7" width="6.4609375" style="386" customWidth="1"/>
    <col min="8" max="8" width="2.4609375" style="81" customWidth="1"/>
    <col min="9" max="9" width="7.15234375" style="81" customWidth="1"/>
    <col min="10" max="10" width="12.84375" style="386" customWidth="1"/>
    <col min="11" max="14" width="7.15234375" style="386" customWidth="1"/>
    <col min="15" max="15" width="2.4609375" style="81" customWidth="1"/>
    <col min="16" max="16" width="5.3046875" style="386" customWidth="1"/>
    <col min="17" max="17" width="6.4609375" style="81" customWidth="1"/>
    <col min="18" max="18" width="9.15234375" style="81" customWidth="1"/>
    <col min="19" max="19" width="28.69140625" style="81" customWidth="1"/>
    <col min="20" max="20" width="13.3046875" style="81" customWidth="1"/>
    <col min="21" max="21" width="11.15234375" style="81" customWidth="1"/>
    <col min="22" max="22" width="7.4609375" style="81" customWidth="1"/>
    <col min="23" max="23" width="6.4609375" style="81" customWidth="1"/>
    <col min="24" max="24" width="9" style="387" customWidth="1"/>
    <col min="25" max="25" width="8.69140625" style="81" customWidth="1"/>
    <col min="26" max="26" width="7.84375" style="81" customWidth="1"/>
    <col min="27" max="27" width="7.15234375" style="81" customWidth="1"/>
    <col min="28" max="28" width="9" style="81" customWidth="1"/>
    <col min="29" max="29" width="7.69140625" style="81" customWidth="1"/>
    <col min="30" max="30" width="9.3046875" style="81" customWidth="1"/>
    <col min="31" max="31" width="7.3046875" style="81" customWidth="1"/>
    <col min="32" max="39" width="7.15234375" style="81" customWidth="1"/>
    <col min="40" max="40" width="37" style="81" bestFit="1" customWidth="1"/>
    <col min="41" max="41" width="12.15234375" style="81" customWidth="1"/>
    <col min="42" max="42" width="10.4609375" style="81" customWidth="1"/>
    <col min="43" max="43" width="5.3046875" style="81" customWidth="1"/>
    <col min="44" max="44" width="30.84375" style="81" customWidth="1"/>
    <col min="45" max="45" width="11.84375" style="81" customWidth="1"/>
    <col min="46" max="46" width="3.69140625" style="81" customWidth="1"/>
    <col min="47" max="47" width="13.4609375" style="81" customWidth="1"/>
    <col min="48" max="16384" width="2.4609375" style="81"/>
  </cols>
  <sheetData>
    <row r="1" spans="1:47" ht="21" thickTop="1" thickBot="1" x14ac:dyDescent="0.55000000000000004">
      <c r="A1" s="384" t="s">
        <v>231</v>
      </c>
      <c r="C1" s="633" t="str">
        <f>START!AO1</f>
        <v>version 7.1.01</v>
      </c>
      <c r="D1" s="929" t="s">
        <v>704</v>
      </c>
      <c r="E1" s="929"/>
      <c r="AN1" s="926" t="s">
        <v>392</v>
      </c>
      <c r="AO1" s="927"/>
      <c r="AP1" s="81" t="e">
        <f>VLOOKUP(START!R7,AQ2:AU929,5,FALSE)</f>
        <v>#N/A</v>
      </c>
      <c r="AQ1" s="640" t="s">
        <v>2022</v>
      </c>
      <c r="AR1" s="640" t="s">
        <v>2023</v>
      </c>
      <c r="AS1" s="640" t="s">
        <v>2024</v>
      </c>
      <c r="AT1" s="640" t="s">
        <v>2025</v>
      </c>
      <c r="AU1" s="640" t="s">
        <v>2026</v>
      </c>
    </row>
    <row r="2" spans="1:47" ht="13.3" thickTop="1" x14ac:dyDescent="0.35">
      <c r="A2" s="388" t="s">
        <v>574</v>
      </c>
      <c r="B2" s="388"/>
      <c r="C2" s="388" t="s">
        <v>70</v>
      </c>
      <c r="D2" s="388" t="s">
        <v>574</v>
      </c>
      <c r="E2" s="388" t="s">
        <v>70</v>
      </c>
      <c r="F2" s="388"/>
      <c r="G2" s="388" t="s">
        <v>703</v>
      </c>
      <c r="H2" s="388"/>
      <c r="I2" s="928" t="s">
        <v>577</v>
      </c>
      <c r="J2" s="929"/>
      <c r="K2" s="929"/>
      <c r="L2" s="929"/>
      <c r="M2" s="929"/>
      <c r="N2" s="929"/>
      <c r="O2" s="388"/>
      <c r="P2" s="388" t="s">
        <v>702</v>
      </c>
      <c r="Q2" s="388" t="s">
        <v>567</v>
      </c>
      <c r="S2" s="389"/>
      <c r="T2" s="389"/>
      <c r="AA2" s="390"/>
      <c r="AB2" s="390"/>
      <c r="AC2" s="390" t="b">
        <v>0</v>
      </c>
      <c r="AD2" s="81" t="b">
        <v>0</v>
      </c>
      <c r="AE2" s="81" t="b">
        <v>0</v>
      </c>
      <c r="AF2" s="81" t="b">
        <v>0</v>
      </c>
      <c r="AN2" s="391" t="s">
        <v>391</v>
      </c>
      <c r="AO2" s="391" t="s">
        <v>394</v>
      </c>
      <c r="AQ2" s="641">
        <v>4</v>
      </c>
      <c r="AR2" t="s">
        <v>2027</v>
      </c>
      <c r="AS2" t="s">
        <v>2028</v>
      </c>
      <c r="AT2" t="s">
        <v>2029</v>
      </c>
      <c r="AU2" s="642">
        <v>961074</v>
      </c>
    </row>
    <row r="3" spans="1:47" ht="13.3" thickBot="1" x14ac:dyDescent="0.4">
      <c r="A3" s="526" t="s">
        <v>1959</v>
      </c>
      <c r="B3" s="81">
        <v>0</v>
      </c>
      <c r="D3" s="388" t="s">
        <v>578</v>
      </c>
      <c r="E3" s="388" t="s">
        <v>578</v>
      </c>
      <c r="I3" s="392" t="s">
        <v>167</v>
      </c>
      <c r="J3" s="392" t="s">
        <v>172</v>
      </c>
      <c r="K3" s="392" t="s">
        <v>168</v>
      </c>
      <c r="L3" s="392" t="s">
        <v>169</v>
      </c>
      <c r="M3" s="392" t="s">
        <v>170</v>
      </c>
      <c r="N3" s="392" t="s">
        <v>171</v>
      </c>
      <c r="AF3" s="75"/>
      <c r="AG3" s="81" t="b">
        <v>0</v>
      </c>
      <c r="AQ3" s="641">
        <v>8</v>
      </c>
      <c r="AR3" t="s">
        <v>2030</v>
      </c>
      <c r="AS3" t="s">
        <v>2031</v>
      </c>
      <c r="AT3" t="s">
        <v>2029</v>
      </c>
      <c r="AU3" s="642">
        <v>1791178</v>
      </c>
    </row>
    <row r="4" spans="1:47" ht="13.3" thickTop="1" x14ac:dyDescent="0.35">
      <c r="A4" s="393" t="s">
        <v>699</v>
      </c>
      <c r="B4" s="394"/>
      <c r="C4" s="394" t="s">
        <v>69</v>
      </c>
      <c r="D4" s="930">
        <v>32</v>
      </c>
      <c r="E4" s="395">
        <v>10</v>
      </c>
      <c r="F4" s="396"/>
      <c r="G4" s="397">
        <v>0</v>
      </c>
      <c r="H4" s="398">
        <f t="shared" ref="H4:H13" si="0">IF(G4&gt;0,1,0)</f>
        <v>0</v>
      </c>
      <c r="I4" s="399"/>
      <c r="J4" s="400" t="b">
        <f>IF(G4=1,TRUE,FALSE)</f>
        <v>0</v>
      </c>
      <c r="K4" s="401" t="b">
        <f>IF(G4=2,TRUE,FALSE)</f>
        <v>0</v>
      </c>
      <c r="L4" s="400" t="b">
        <f>IF(G4=3,TRUE,FALSE)</f>
        <v>0</v>
      </c>
      <c r="M4" s="400" t="b">
        <f>IF(G4=4,TRUE,FALSE)</f>
        <v>0</v>
      </c>
      <c r="N4" s="400" t="b">
        <f>IF(G4=5,TRUE,FALSE)</f>
        <v>0</v>
      </c>
      <c r="O4" s="394"/>
      <c r="P4" s="395">
        <f t="shared" ref="P4:P13" si="1">IF(J4=TRUE,E4,IF(K4=TRUE,E4*0.85,IF(L4=TRUE,E4*0.7,IF(M4=TRUE,E4*0.5,0))))</f>
        <v>0</v>
      </c>
      <c r="Q4" s="402">
        <f>E4</f>
        <v>10</v>
      </c>
      <c r="R4" s="81">
        <f>32*E4</f>
        <v>320</v>
      </c>
      <c r="S4" s="403" t="s">
        <v>69</v>
      </c>
      <c r="T4" s="404">
        <f>IF(ARA!J85="describe corrective action needed for any Red Flag or Yellow Flag ranking",0,1)</f>
        <v>1</v>
      </c>
      <c r="W4" s="375" t="s">
        <v>191</v>
      </c>
      <c r="X4" s="405">
        <f>SUM(H4:H13)</f>
        <v>0</v>
      </c>
      <c r="Y4" s="81" t="b">
        <f>ISNUMBER(A7)</f>
        <v>0</v>
      </c>
      <c r="AN4" s="81" t="str">
        <f>C4</f>
        <v>APPLICATIONS</v>
      </c>
      <c r="AO4" s="387">
        <f>$D$4*(Q4-P4)</f>
        <v>320</v>
      </c>
      <c r="AQ4" s="641">
        <v>12</v>
      </c>
      <c r="AR4" t="s">
        <v>2032</v>
      </c>
      <c r="AS4" t="s">
        <v>2033</v>
      </c>
      <c r="AT4" t="s">
        <v>2029</v>
      </c>
      <c r="AU4" s="642">
        <v>25071637</v>
      </c>
    </row>
    <row r="5" spans="1:47" ht="12.9" x14ac:dyDescent="0.35">
      <c r="A5" s="406">
        <f>SUM(P4:P13)</f>
        <v>0</v>
      </c>
      <c r="B5" s="407"/>
      <c r="C5" s="407" t="s">
        <v>706</v>
      </c>
      <c r="D5" s="931"/>
      <c r="E5" s="408">
        <v>12</v>
      </c>
      <c r="F5" s="407"/>
      <c r="G5" s="409">
        <v>0</v>
      </c>
      <c r="H5" s="376">
        <f t="shared" si="0"/>
        <v>0</v>
      </c>
      <c r="I5" s="410"/>
      <c r="J5" s="411" t="b">
        <f t="shared" ref="J5:J13" si="2">IF(G5=1,TRUE,FALSE)</f>
        <v>0</v>
      </c>
      <c r="K5" s="412" t="b">
        <f t="shared" ref="K5:K13" si="3">IF(G5=2,TRUE,FALSE)</f>
        <v>0</v>
      </c>
      <c r="L5" s="411" t="b">
        <f t="shared" ref="L5:L12" si="4">IF(G5=3,TRUE,FALSE)</f>
        <v>0</v>
      </c>
      <c r="M5" s="411" t="b">
        <f t="shared" ref="M5:M13" si="5">IF(G5=4,TRUE,FALSE)</f>
        <v>0</v>
      </c>
      <c r="N5" s="411" t="b">
        <f t="shared" ref="N5:N13" si="6">IF(G5=5,TRUE,FALSE)</f>
        <v>0</v>
      </c>
      <c r="O5" s="407"/>
      <c r="P5" s="408">
        <f t="shared" si="1"/>
        <v>0</v>
      </c>
      <c r="Q5" s="413">
        <f>E5</f>
        <v>12</v>
      </c>
      <c r="R5" s="81">
        <f t="shared" ref="R5:R26" si="7">32*E5</f>
        <v>384</v>
      </c>
      <c r="S5" s="403" t="s">
        <v>706</v>
      </c>
      <c r="T5" s="404">
        <f>IF(ARA!J101="describe corrective action needed for any Red Flag or Yellow Flag ranking",0,1)</f>
        <v>1</v>
      </c>
      <c r="W5" s="375" t="s">
        <v>192</v>
      </c>
      <c r="X5" s="405">
        <f>SUM(H15:H26)</f>
        <v>0</v>
      </c>
      <c r="Y5" s="81" t="b">
        <f>ISNUMBER(A18)</f>
        <v>0</v>
      </c>
      <c r="AI5" s="81" t="b">
        <v>0</v>
      </c>
      <c r="AJ5" s="81" t="b">
        <v>0</v>
      </c>
      <c r="AN5" s="81" t="str">
        <f t="shared" ref="AN5:AN68" si="8">C5</f>
        <v>REFERENCES</v>
      </c>
      <c r="AO5" s="387">
        <f t="shared" ref="AO5:AO13" si="9">$D$4*(Q5-P5)</f>
        <v>384</v>
      </c>
      <c r="AQ5" s="641">
        <v>51</v>
      </c>
      <c r="AR5" t="s">
        <v>2034</v>
      </c>
      <c r="AS5" t="s">
        <v>2035</v>
      </c>
      <c r="AT5" t="s">
        <v>2029</v>
      </c>
      <c r="AU5" s="642">
        <v>1009138</v>
      </c>
    </row>
    <row r="6" spans="1:47" ht="12.9" x14ac:dyDescent="0.35">
      <c r="A6" s="406">
        <f>SUM(Q4:Q13)</f>
        <v>100</v>
      </c>
      <c r="B6" s="407"/>
      <c r="C6" s="407" t="s">
        <v>707</v>
      </c>
      <c r="D6" s="931"/>
      <c r="E6" s="408">
        <v>13</v>
      </c>
      <c r="F6" s="407"/>
      <c r="G6" s="409">
        <v>0</v>
      </c>
      <c r="H6" s="376">
        <f t="shared" si="0"/>
        <v>0</v>
      </c>
      <c r="I6" s="410"/>
      <c r="J6" s="411" t="b">
        <f t="shared" si="2"/>
        <v>0</v>
      </c>
      <c r="K6" s="412" t="b">
        <f t="shared" si="3"/>
        <v>0</v>
      </c>
      <c r="L6" s="411" t="b">
        <f t="shared" si="4"/>
        <v>0</v>
      </c>
      <c r="M6" s="411" t="b">
        <f t="shared" si="5"/>
        <v>0</v>
      </c>
      <c r="N6" s="411" t="b">
        <f t="shared" si="6"/>
        <v>0</v>
      </c>
      <c r="O6" s="407"/>
      <c r="P6" s="408">
        <f t="shared" si="1"/>
        <v>0</v>
      </c>
      <c r="Q6" s="413">
        <f>E6</f>
        <v>13</v>
      </c>
      <c r="R6" s="81">
        <f t="shared" si="7"/>
        <v>416</v>
      </c>
      <c r="S6" s="403" t="s">
        <v>707</v>
      </c>
      <c r="T6" s="404">
        <f>IF(ARA!J119="describe corrective action needed for any Red Flag or Yellow Flag ranking",0,1)</f>
        <v>1</v>
      </c>
      <c r="W6" s="375" t="s">
        <v>193</v>
      </c>
      <c r="X6" s="405">
        <f>SUM(H28:H32)</f>
        <v>0</v>
      </c>
      <c r="Y6" s="81" t="b">
        <f>ISNUMBER(A31)</f>
        <v>0</v>
      </c>
      <c r="AN6" s="81" t="str">
        <f t="shared" si="8"/>
        <v>CBCs</v>
      </c>
      <c r="AO6" s="387">
        <f t="shared" si="9"/>
        <v>416</v>
      </c>
      <c r="AQ6" s="641">
        <v>52</v>
      </c>
      <c r="AR6" t="s">
        <v>2036</v>
      </c>
      <c r="AS6" t="s">
        <v>2037</v>
      </c>
      <c r="AT6" t="s">
        <v>2029</v>
      </c>
      <c r="AU6" s="642">
        <v>2035527</v>
      </c>
    </row>
    <row r="7" spans="1:47" ht="12.9" x14ac:dyDescent="0.35">
      <c r="A7" s="414" t="str">
        <f>IF(X4=10,A5/A6,"grade(s) missing")</f>
        <v>grade(s) missing</v>
      </c>
      <c r="B7" s="407"/>
      <c r="C7" s="407" t="s">
        <v>708</v>
      </c>
      <c r="D7" s="931"/>
      <c r="E7" s="408">
        <v>13</v>
      </c>
      <c r="F7" s="407"/>
      <c r="G7" s="409">
        <v>0</v>
      </c>
      <c r="H7" s="376">
        <f t="shared" si="0"/>
        <v>0</v>
      </c>
      <c r="I7" s="410"/>
      <c r="J7" s="411" t="b">
        <f t="shared" si="2"/>
        <v>0</v>
      </c>
      <c r="K7" s="412" t="b">
        <f t="shared" si="3"/>
        <v>0</v>
      </c>
      <c r="L7" s="411" t="b">
        <f t="shared" si="4"/>
        <v>0</v>
      </c>
      <c r="M7" s="411" t="b">
        <f t="shared" si="5"/>
        <v>0</v>
      </c>
      <c r="N7" s="411" t="b">
        <f t="shared" si="6"/>
        <v>0</v>
      </c>
      <c r="O7" s="407"/>
      <c r="P7" s="408">
        <f t="shared" si="1"/>
        <v>0</v>
      </c>
      <c r="Q7" s="413">
        <f>E7</f>
        <v>13</v>
      </c>
      <c r="R7" s="81">
        <f t="shared" si="7"/>
        <v>416</v>
      </c>
      <c r="S7" s="403" t="s">
        <v>708</v>
      </c>
      <c r="T7" s="404">
        <f>IF(ARA!J137="describe corrective action needed for any Red Flag or Yellow Flag ranking",0,1)</f>
        <v>1</v>
      </c>
      <c r="W7" s="375" t="s">
        <v>194</v>
      </c>
      <c r="X7" s="405">
        <f>SUM(H34:H35)</f>
        <v>0</v>
      </c>
      <c r="Y7" s="81" t="b">
        <f>ISNUMBER(A37)</f>
        <v>0</v>
      </c>
      <c r="AN7" s="81" t="str">
        <f t="shared" si="8"/>
        <v>TRAINING</v>
      </c>
      <c r="AO7" s="387">
        <f t="shared" si="9"/>
        <v>416</v>
      </c>
      <c r="AQ7" s="641">
        <v>56</v>
      </c>
      <c r="AR7" t="s">
        <v>2038</v>
      </c>
      <c r="AS7" t="s">
        <v>2039</v>
      </c>
      <c r="AT7" t="s">
        <v>2029</v>
      </c>
      <c r="AU7" s="642">
        <v>779808</v>
      </c>
    </row>
    <row r="8" spans="1:47" ht="12.9" x14ac:dyDescent="0.35">
      <c r="A8" s="415" t="str">
        <f>IF(A7="grade(s) missing","",IF(N6=TRUE,"BLACK FLAG",IF(A7&gt;=0.98,"DIAMOND MEDAL",IF(A7&gt;=0.83,"PLATINUM MEDAL",IF(A7&gt;=0.68,"GOLD MEDAL",IF(A7&gt;=0.48,"YELLOW FLAG","RED FLAG"))))))</f>
        <v/>
      </c>
      <c r="B8" s="407"/>
      <c r="C8" s="407" t="s">
        <v>709</v>
      </c>
      <c r="D8" s="931"/>
      <c r="E8" s="408">
        <v>10</v>
      </c>
      <c r="F8" s="407"/>
      <c r="G8" s="409">
        <v>0</v>
      </c>
      <c r="H8" s="376">
        <f t="shared" si="0"/>
        <v>0</v>
      </c>
      <c r="I8" s="410"/>
      <c r="J8" s="411" t="b">
        <f t="shared" si="2"/>
        <v>0</v>
      </c>
      <c r="K8" s="412" t="b">
        <f t="shared" si="3"/>
        <v>0</v>
      </c>
      <c r="L8" s="411" t="b">
        <f t="shared" si="4"/>
        <v>0</v>
      </c>
      <c r="M8" s="411" t="b">
        <f t="shared" si="5"/>
        <v>0</v>
      </c>
      <c r="N8" s="411" t="b">
        <f t="shared" si="6"/>
        <v>0</v>
      </c>
      <c r="O8" s="407"/>
      <c r="P8" s="408">
        <f t="shared" si="1"/>
        <v>0</v>
      </c>
      <c r="Q8" s="413">
        <f>E8</f>
        <v>10</v>
      </c>
      <c r="R8" s="81">
        <f t="shared" si="7"/>
        <v>320</v>
      </c>
      <c r="S8" s="403" t="s">
        <v>709</v>
      </c>
      <c r="T8" s="404">
        <f>IF(ARA!J153="describe corrective action needed for any Red Flag or Yellow Flag ranking",0,1)</f>
        <v>1</v>
      </c>
      <c r="W8" s="375" t="s">
        <v>195</v>
      </c>
      <c r="X8" s="405">
        <f>SUM(H40:H44)</f>
        <v>0</v>
      </c>
      <c r="Y8" s="81" t="b">
        <f>ISNUMBER(A43)</f>
        <v>0</v>
      </c>
      <c r="AN8" s="81" t="str">
        <f t="shared" si="8"/>
        <v>FEEDBACK</v>
      </c>
      <c r="AO8" s="387">
        <f t="shared" si="9"/>
        <v>320</v>
      </c>
      <c r="AQ8" s="641">
        <v>64</v>
      </c>
      <c r="AR8" t="s">
        <v>2040</v>
      </c>
      <c r="AS8" t="s">
        <v>2041</v>
      </c>
      <c r="AT8" t="s">
        <v>2029</v>
      </c>
      <c r="AU8" s="642">
        <v>3943834</v>
      </c>
    </row>
    <row r="9" spans="1:47" ht="12.9" x14ac:dyDescent="0.35">
      <c r="A9" s="406">
        <f>IF(A6="DIAMOND",1,IF(A6="PLATINUM",1,IF(A6="GOLD",1,IF(A6="YELLOW FLAG",1,IF(A6="RED FLAG",1,IF(A6="BLACK FLAG",1,0))))))</f>
        <v>0</v>
      </c>
      <c r="B9" s="407"/>
      <c r="C9" s="407" t="s">
        <v>710</v>
      </c>
      <c r="D9" s="931"/>
      <c r="E9" s="408">
        <v>6</v>
      </c>
      <c r="F9" s="407"/>
      <c r="G9" s="409">
        <v>0</v>
      </c>
      <c r="H9" s="376">
        <f t="shared" si="0"/>
        <v>0</v>
      </c>
      <c r="I9" s="411" t="b">
        <f>IF(G9=6,TRUE,FALSE)</f>
        <v>0</v>
      </c>
      <c r="J9" s="411" t="b">
        <f t="shared" si="2"/>
        <v>0</v>
      </c>
      <c r="K9" s="412" t="b">
        <f t="shared" si="3"/>
        <v>0</v>
      </c>
      <c r="L9" s="411" t="b">
        <f t="shared" si="4"/>
        <v>0</v>
      </c>
      <c r="M9" s="411" t="b">
        <f t="shared" si="5"/>
        <v>0</v>
      </c>
      <c r="N9" s="411" t="b">
        <f t="shared" si="6"/>
        <v>0</v>
      </c>
      <c r="O9" s="407"/>
      <c r="P9" s="408">
        <f t="shared" si="1"/>
        <v>0</v>
      </c>
      <c r="Q9" s="413">
        <f>IF(I9=TRUE,0,E9)</f>
        <v>6</v>
      </c>
      <c r="R9" s="81">
        <f t="shared" si="7"/>
        <v>192</v>
      </c>
      <c r="S9" s="403" t="s">
        <v>710</v>
      </c>
      <c r="T9" s="404">
        <f>IF(ARA!J171="describe corrective action needed for any Red Flag or Yellow Flag ranking",0,1)</f>
        <v>1</v>
      </c>
      <c r="AN9" s="81" t="str">
        <f t="shared" si="8"/>
        <v>FACILITY SECURITY</v>
      </c>
      <c r="AO9" s="387">
        <f t="shared" si="9"/>
        <v>192</v>
      </c>
      <c r="AQ9" s="641">
        <v>97</v>
      </c>
      <c r="AR9" t="s">
        <v>2042</v>
      </c>
      <c r="AS9" t="s">
        <v>2043</v>
      </c>
      <c r="AT9" t="s">
        <v>2029</v>
      </c>
      <c r="AU9" s="642">
        <v>6960890</v>
      </c>
    </row>
    <row r="10" spans="1:47" ht="12.9" x14ac:dyDescent="0.35">
      <c r="A10" s="406"/>
      <c r="B10" s="407"/>
      <c r="C10" s="407" t="s">
        <v>711</v>
      </c>
      <c r="D10" s="931"/>
      <c r="E10" s="408">
        <v>17</v>
      </c>
      <c r="F10" s="407"/>
      <c r="G10" s="409">
        <v>0</v>
      </c>
      <c r="H10" s="376">
        <f t="shared" si="0"/>
        <v>0</v>
      </c>
      <c r="I10" s="411" t="b">
        <f>IF(G10=6,TRUE,FALSE)</f>
        <v>0</v>
      </c>
      <c r="J10" s="411" t="b">
        <f t="shared" si="2"/>
        <v>0</v>
      </c>
      <c r="K10" s="412" t="b">
        <f t="shared" si="3"/>
        <v>0</v>
      </c>
      <c r="L10" s="411" t="b">
        <f t="shared" si="4"/>
        <v>0</v>
      </c>
      <c r="M10" s="411" t="b">
        <f t="shared" si="5"/>
        <v>0</v>
      </c>
      <c r="N10" s="411" t="b">
        <f t="shared" si="6"/>
        <v>0</v>
      </c>
      <c r="O10" s="407"/>
      <c r="P10" s="408">
        <f t="shared" si="1"/>
        <v>0</v>
      </c>
      <c r="Q10" s="413">
        <f>IF(I10=TRUE,0,E10)</f>
        <v>17</v>
      </c>
      <c r="R10" s="81">
        <f t="shared" si="7"/>
        <v>544</v>
      </c>
      <c r="S10" s="403" t="s">
        <v>711</v>
      </c>
      <c r="T10" s="404">
        <f>IF(ARA!J189="describe corrective action needed for any Red Flag or Yellow Flag ranking",0,1)</f>
        <v>1</v>
      </c>
      <c r="AN10" s="81" t="str">
        <f t="shared" si="8"/>
        <v>FACILITY PHYSICAL</v>
      </c>
      <c r="AO10" s="387">
        <f t="shared" si="9"/>
        <v>544</v>
      </c>
      <c r="AQ10" s="641">
        <v>100</v>
      </c>
      <c r="AR10" t="s">
        <v>2044</v>
      </c>
      <c r="AS10" t="s">
        <v>2043</v>
      </c>
      <c r="AT10" t="s">
        <v>2029</v>
      </c>
      <c r="AU10" s="642">
        <v>1060678</v>
      </c>
    </row>
    <row r="11" spans="1:47" ht="12.9" x14ac:dyDescent="0.35">
      <c r="A11" s="416"/>
      <c r="B11" s="407"/>
      <c r="C11" s="407" t="s">
        <v>712</v>
      </c>
      <c r="D11" s="931"/>
      <c r="E11" s="408">
        <v>5</v>
      </c>
      <c r="F11" s="407"/>
      <c r="G11" s="409">
        <v>0</v>
      </c>
      <c r="H11" s="376">
        <f t="shared" si="0"/>
        <v>0</v>
      </c>
      <c r="I11" s="411" t="b">
        <f>IF(G11=6,TRUE,FALSE)</f>
        <v>0</v>
      </c>
      <c r="J11" s="411" t="b">
        <f t="shared" si="2"/>
        <v>0</v>
      </c>
      <c r="K11" s="412" t="b">
        <f t="shared" si="3"/>
        <v>0</v>
      </c>
      <c r="L11" s="411" t="b">
        <f t="shared" si="4"/>
        <v>0</v>
      </c>
      <c r="M11" s="411" t="b">
        <f t="shared" si="5"/>
        <v>0</v>
      </c>
      <c r="N11" s="411" t="b">
        <f t="shared" si="6"/>
        <v>0</v>
      </c>
      <c r="O11" s="407"/>
      <c r="P11" s="408">
        <f t="shared" si="1"/>
        <v>0</v>
      </c>
      <c r="Q11" s="413">
        <f>IF(I11=TRUE,0,E11)</f>
        <v>5</v>
      </c>
      <c r="R11" s="81">
        <f t="shared" si="7"/>
        <v>160</v>
      </c>
      <c r="S11" s="403" t="s">
        <v>712</v>
      </c>
      <c r="T11" s="404">
        <f>IF(ARA!J207="describe corrective action needed for any Red Flag or Yellow Flag ranking",0,1)</f>
        <v>1</v>
      </c>
      <c r="AN11" s="81" t="str">
        <f t="shared" si="8"/>
        <v>CHILDREN IN BLDG</v>
      </c>
      <c r="AO11" s="387">
        <f t="shared" si="9"/>
        <v>160</v>
      </c>
      <c r="AQ11" s="641">
        <v>101</v>
      </c>
      <c r="AR11" t="s">
        <v>2045</v>
      </c>
      <c r="AS11" t="s">
        <v>2046</v>
      </c>
      <c r="AT11" t="s">
        <v>2029</v>
      </c>
      <c r="AU11" s="642">
        <v>485334</v>
      </c>
    </row>
    <row r="12" spans="1:47" ht="12.9" x14ac:dyDescent="0.35">
      <c r="A12" s="416"/>
      <c r="B12" s="407"/>
      <c r="C12" s="407" t="s">
        <v>713</v>
      </c>
      <c r="D12" s="931"/>
      <c r="E12" s="408">
        <v>9</v>
      </c>
      <c r="F12" s="407"/>
      <c r="G12" s="409">
        <v>0</v>
      </c>
      <c r="H12" s="376">
        <f t="shared" si="0"/>
        <v>0</v>
      </c>
      <c r="I12" s="411" t="b">
        <f>IF(G12=6,TRUE,FALSE)</f>
        <v>0</v>
      </c>
      <c r="J12" s="411" t="b">
        <f t="shared" si="2"/>
        <v>0</v>
      </c>
      <c r="K12" s="412" t="b">
        <f t="shared" si="3"/>
        <v>0</v>
      </c>
      <c r="L12" s="411" t="b">
        <f t="shared" si="4"/>
        <v>0</v>
      </c>
      <c r="M12" s="411" t="b">
        <f t="shared" si="5"/>
        <v>0</v>
      </c>
      <c r="N12" s="411" t="b">
        <f t="shared" si="6"/>
        <v>0</v>
      </c>
      <c r="O12" s="407"/>
      <c r="P12" s="408">
        <f t="shared" si="1"/>
        <v>0</v>
      </c>
      <c r="Q12" s="413">
        <f>IF(I12=TRUE,0,E12)</f>
        <v>9</v>
      </c>
      <c r="R12" s="81">
        <f t="shared" si="7"/>
        <v>288</v>
      </c>
      <c r="S12" s="403" t="s">
        <v>713</v>
      </c>
      <c r="T12" s="404">
        <f>IF(ARA!J225="describe corrective action needed for any Red Flag or Yellow Flag ranking",0,1)</f>
        <v>1</v>
      </c>
      <c r="AN12" s="81" t="str">
        <f t="shared" si="8"/>
        <v>CHILDCARE PROTOCOLS</v>
      </c>
      <c r="AO12" s="387">
        <f t="shared" si="9"/>
        <v>288</v>
      </c>
      <c r="AQ12" s="641">
        <v>102</v>
      </c>
      <c r="AR12" t="s">
        <v>2047</v>
      </c>
      <c r="AS12" t="s">
        <v>2048</v>
      </c>
      <c r="AT12" t="s">
        <v>2029</v>
      </c>
      <c r="AU12" s="642">
        <v>358202</v>
      </c>
    </row>
    <row r="13" spans="1:47" ht="13.3" thickBot="1" x14ac:dyDescent="0.4">
      <c r="A13" s="417"/>
      <c r="B13" s="418"/>
      <c r="C13" s="418" t="s">
        <v>714</v>
      </c>
      <c r="D13" s="932"/>
      <c r="E13" s="419">
        <v>5</v>
      </c>
      <c r="F13" s="418" t="b">
        <v>0</v>
      </c>
      <c r="G13" s="420">
        <v>0</v>
      </c>
      <c r="H13" s="421">
        <f t="shared" si="0"/>
        <v>0</v>
      </c>
      <c r="I13" s="422" t="b">
        <f>IF(G13=6,TRUE,FALSE)</f>
        <v>0</v>
      </c>
      <c r="J13" s="422" t="b">
        <f t="shared" si="2"/>
        <v>0</v>
      </c>
      <c r="K13" s="423" t="b">
        <f t="shared" si="3"/>
        <v>0</v>
      </c>
      <c r="L13" s="422" t="b">
        <f>IF(G13=3,TRUE,IF(G13=7,TRUE,FALSE))</f>
        <v>0</v>
      </c>
      <c r="M13" s="422" t="b">
        <f t="shared" si="5"/>
        <v>0</v>
      </c>
      <c r="N13" s="422" t="b">
        <f t="shared" si="6"/>
        <v>0</v>
      </c>
      <c r="O13" s="418"/>
      <c r="P13" s="419">
        <f t="shared" si="1"/>
        <v>0</v>
      </c>
      <c r="Q13" s="424">
        <f>IF(I13=TRUE,0,E13)</f>
        <v>5</v>
      </c>
      <c r="R13" s="81">
        <f t="shared" si="7"/>
        <v>160</v>
      </c>
      <c r="S13" s="403" t="s">
        <v>714</v>
      </c>
      <c r="T13" s="404">
        <f>IF(ARA!J248="describe corrective action needed for any Red Flag or Yellow Flag ranking",0,1)</f>
        <v>1</v>
      </c>
      <c r="V13" s="81" t="s">
        <v>1924</v>
      </c>
      <c r="AN13" s="81" t="str">
        <f t="shared" si="8"/>
        <v>TRANSPORTATION</v>
      </c>
      <c r="AO13" s="387">
        <f t="shared" si="9"/>
        <v>160</v>
      </c>
      <c r="AQ13" s="641">
        <v>103</v>
      </c>
      <c r="AR13" t="s">
        <v>2049</v>
      </c>
      <c r="AS13" t="s">
        <v>2050</v>
      </c>
      <c r="AT13" t="s">
        <v>2029</v>
      </c>
      <c r="AU13" s="642">
        <v>1228278</v>
      </c>
    </row>
    <row r="14" spans="1:47" ht="13.75" thickTop="1" thickBot="1" x14ac:dyDescent="0.4">
      <c r="I14" s="425" t="s">
        <v>167</v>
      </c>
      <c r="J14" s="425" t="s">
        <v>172</v>
      </c>
      <c r="K14" s="425" t="s">
        <v>168</v>
      </c>
      <c r="L14" s="425" t="s">
        <v>169</v>
      </c>
      <c r="M14" s="425" t="s">
        <v>170</v>
      </c>
      <c r="N14" s="425" t="s">
        <v>171</v>
      </c>
      <c r="Q14" s="394"/>
      <c r="R14" s="81">
        <f>SUM(R4:R13)</f>
        <v>3200</v>
      </c>
      <c r="S14" s="403"/>
      <c r="T14" s="404"/>
      <c r="V14" s="81" t="s">
        <v>1942</v>
      </c>
      <c r="X14" s="387" t="b">
        <v>0</v>
      </c>
      <c r="AO14" s="387"/>
      <c r="AQ14" s="641">
        <v>104</v>
      </c>
      <c r="AR14" t="s">
        <v>2051</v>
      </c>
      <c r="AS14" t="s">
        <v>2052</v>
      </c>
      <c r="AT14" t="s">
        <v>2029</v>
      </c>
      <c r="AU14" s="642">
        <v>15425467</v>
      </c>
    </row>
    <row r="15" spans="1:47" ht="13.3" thickTop="1" x14ac:dyDescent="0.35">
      <c r="A15" s="393" t="s">
        <v>715</v>
      </c>
      <c r="B15" s="394"/>
      <c r="C15" s="394" t="s">
        <v>716</v>
      </c>
      <c r="D15" s="930">
        <v>32</v>
      </c>
      <c r="E15" s="426">
        <v>12</v>
      </c>
      <c r="F15" s="394"/>
      <c r="G15" s="397">
        <v>0</v>
      </c>
      <c r="H15" s="398">
        <f t="shared" ref="H15:H26" si="10">IF(G15&gt;0,1,0)</f>
        <v>0</v>
      </c>
      <c r="I15" s="400" t="b">
        <f t="shared" ref="I15:I26" si="11">IF(G15=6,TRUE,FALSE)</f>
        <v>0</v>
      </c>
      <c r="J15" s="400" t="b">
        <f t="shared" ref="J15:J26" si="12">IF(G15=1,TRUE,FALSE)</f>
        <v>0</v>
      </c>
      <c r="K15" s="401" t="b">
        <f t="shared" ref="K15:K26" si="13">IF(G15=2,TRUE,FALSE)</f>
        <v>0</v>
      </c>
      <c r="L15" s="400" t="b">
        <f t="shared" ref="L15:L26" si="14">IF(G15=3,TRUE,FALSE)</f>
        <v>0</v>
      </c>
      <c r="M15" s="400" t="b">
        <f t="shared" ref="M15:M26" si="15">IF(G15=4,TRUE,FALSE)</f>
        <v>0</v>
      </c>
      <c r="N15" s="400" t="b">
        <f t="shared" ref="N15:N26" si="16">IF(G15=5,TRUE,FALSE)</f>
        <v>0</v>
      </c>
      <c r="O15" s="394"/>
      <c r="P15" s="395">
        <f t="shared" ref="P15:P26" si="17">IF(J15=TRUE,E15,IF(K15=TRUE,E15*0.85,IF(L15=TRUE,E15*0.7,IF(M15=TRUE,E15*0.5,0))))</f>
        <v>0</v>
      </c>
      <c r="Q15" s="402">
        <f t="shared" ref="Q15:Q26" si="18">IF(I15=TRUE,0,E15)</f>
        <v>12</v>
      </c>
      <c r="R15" s="81">
        <f t="shared" si="7"/>
        <v>384</v>
      </c>
      <c r="S15" s="403" t="s">
        <v>716</v>
      </c>
      <c r="T15" s="404">
        <f>IF(ARA!J271="describe corrective action needed for any Red Flag or Yellow Flag ranking",0,1)</f>
        <v>1</v>
      </c>
      <c r="V15" s="81" t="s">
        <v>1943</v>
      </c>
      <c r="X15" s="387" t="b">
        <v>0</v>
      </c>
      <c r="AN15" s="81" t="str">
        <f t="shared" si="8"/>
        <v>POOL GUARDING</v>
      </c>
      <c r="AO15" s="387">
        <f>$D$15*(Q15-P15)</f>
        <v>384</v>
      </c>
      <c r="AQ15" s="641">
        <v>124</v>
      </c>
      <c r="AR15" t="s">
        <v>2053</v>
      </c>
      <c r="AS15" t="s">
        <v>2054</v>
      </c>
      <c r="AT15" t="s">
        <v>2029</v>
      </c>
      <c r="AU15" s="642">
        <v>3739128</v>
      </c>
    </row>
    <row r="16" spans="1:47" ht="12.9" x14ac:dyDescent="0.35">
      <c r="A16" s="406">
        <f>IF(B26=FALSE,SUM(P15:P26),0)</f>
        <v>0</v>
      </c>
      <c r="B16" s="407"/>
      <c r="C16" s="407" t="s">
        <v>717</v>
      </c>
      <c r="D16" s="931"/>
      <c r="E16" s="427">
        <v>7</v>
      </c>
      <c r="F16" s="407"/>
      <c r="G16" s="409">
        <v>0</v>
      </c>
      <c r="H16" s="376">
        <f t="shared" si="10"/>
        <v>0</v>
      </c>
      <c r="I16" s="411" t="b">
        <f t="shared" si="11"/>
        <v>0</v>
      </c>
      <c r="J16" s="411" t="b">
        <f t="shared" si="12"/>
        <v>0</v>
      </c>
      <c r="K16" s="412" t="b">
        <f t="shared" si="13"/>
        <v>0</v>
      </c>
      <c r="L16" s="411" t="b">
        <f t="shared" si="14"/>
        <v>0</v>
      </c>
      <c r="M16" s="411" t="b">
        <f t="shared" si="15"/>
        <v>0</v>
      </c>
      <c r="N16" s="411" t="b">
        <f t="shared" si="16"/>
        <v>0</v>
      </c>
      <c r="O16" s="407"/>
      <c r="P16" s="408">
        <f t="shared" si="17"/>
        <v>0</v>
      </c>
      <c r="Q16" s="413">
        <f t="shared" si="18"/>
        <v>7</v>
      </c>
      <c r="R16" s="81">
        <f t="shared" si="7"/>
        <v>224</v>
      </c>
      <c r="S16" s="403" t="s">
        <v>717</v>
      </c>
      <c r="T16" s="404">
        <f>IF(ARA!J289="describe corrective action needed for any Red Flag or Yellow Flag ranking",0,1)</f>
        <v>1</v>
      </c>
      <c r="V16" s="81" t="s">
        <v>1944</v>
      </c>
      <c r="X16" s="387" t="b">
        <v>0</v>
      </c>
      <c r="AN16" s="81" t="str">
        <f t="shared" si="8"/>
        <v>LG PREPAREDNESS</v>
      </c>
      <c r="AO16" s="387">
        <f t="shared" ref="AO16:AO26" si="19">$D$15*(Q16-P16)</f>
        <v>224</v>
      </c>
      <c r="AQ16" s="641">
        <v>126</v>
      </c>
      <c r="AR16" t="s">
        <v>2055</v>
      </c>
      <c r="AS16" t="s">
        <v>2056</v>
      </c>
      <c r="AT16" t="s">
        <v>2029</v>
      </c>
      <c r="AU16" s="642">
        <v>520980</v>
      </c>
    </row>
    <row r="17" spans="1:47" ht="12.9" x14ac:dyDescent="0.35">
      <c r="A17" s="406">
        <f>IF(B26=FALSE,SUM(Q15:Q26),0)</f>
        <v>100</v>
      </c>
      <c r="B17" s="407"/>
      <c r="C17" s="407" t="s">
        <v>718</v>
      </c>
      <c r="D17" s="931"/>
      <c r="E17" s="427">
        <v>6</v>
      </c>
      <c r="F17" s="407"/>
      <c r="G17" s="409">
        <v>0</v>
      </c>
      <c r="H17" s="376">
        <f t="shared" si="10"/>
        <v>0</v>
      </c>
      <c r="I17" s="411" t="b">
        <f t="shared" si="11"/>
        <v>0</v>
      </c>
      <c r="J17" s="411" t="b">
        <f t="shared" si="12"/>
        <v>0</v>
      </c>
      <c r="K17" s="412" t="b">
        <f t="shared" si="13"/>
        <v>0</v>
      </c>
      <c r="L17" s="411" t="b">
        <f t="shared" si="14"/>
        <v>0</v>
      </c>
      <c r="M17" s="411" t="b">
        <f t="shared" si="15"/>
        <v>0</v>
      </c>
      <c r="N17" s="411" t="b">
        <f t="shared" si="16"/>
        <v>0</v>
      </c>
      <c r="O17" s="407"/>
      <c r="P17" s="408">
        <f t="shared" si="17"/>
        <v>0</v>
      </c>
      <c r="Q17" s="413">
        <f t="shared" si="18"/>
        <v>6</v>
      </c>
      <c r="R17" s="81">
        <f t="shared" si="7"/>
        <v>192</v>
      </c>
      <c r="S17" s="403" t="s">
        <v>718</v>
      </c>
      <c r="T17" s="404">
        <f>IF(ARA!J307="describe corrective action needed for any Red Flag or Yellow Flag ranking",0,1)</f>
        <v>1</v>
      </c>
      <c r="U17" s="428"/>
      <c r="V17" s="81" t="s">
        <v>1945</v>
      </c>
      <c r="X17" s="387" t="b">
        <v>0</v>
      </c>
      <c r="AN17" s="81" t="str">
        <f t="shared" si="8"/>
        <v>LG CONDUCT</v>
      </c>
      <c r="AO17" s="387">
        <f t="shared" si="19"/>
        <v>192</v>
      </c>
      <c r="AQ17" s="641">
        <v>132</v>
      </c>
      <c r="AR17" t="s">
        <v>2057</v>
      </c>
      <c r="AS17" t="s">
        <v>2058</v>
      </c>
      <c r="AT17" t="s">
        <v>2029</v>
      </c>
      <c r="AU17" s="642" t="s">
        <v>2059</v>
      </c>
    </row>
    <row r="18" spans="1:47" ht="12.9" x14ac:dyDescent="0.35">
      <c r="A18" s="414" t="str">
        <f>IF(B26=TRUE,"NO EXPOSURE",IF(X5=12,A16/A17,"grade(s) missing"))</f>
        <v>grade(s) missing</v>
      </c>
      <c r="B18" s="407"/>
      <c r="C18" s="407" t="s">
        <v>719</v>
      </c>
      <c r="D18" s="931"/>
      <c r="E18" s="427">
        <v>10</v>
      </c>
      <c r="F18" s="407"/>
      <c r="G18" s="409">
        <v>0</v>
      </c>
      <c r="H18" s="376">
        <f t="shared" si="10"/>
        <v>0</v>
      </c>
      <c r="I18" s="411" t="b">
        <f t="shared" si="11"/>
        <v>0</v>
      </c>
      <c r="J18" s="411" t="b">
        <f t="shared" si="12"/>
        <v>0</v>
      </c>
      <c r="K18" s="412" t="b">
        <f t="shared" si="13"/>
        <v>0</v>
      </c>
      <c r="L18" s="411" t="b">
        <f t="shared" si="14"/>
        <v>0</v>
      </c>
      <c r="M18" s="411" t="b">
        <f t="shared" si="15"/>
        <v>0</v>
      </c>
      <c r="N18" s="411" t="b">
        <f t="shared" si="16"/>
        <v>0</v>
      </c>
      <c r="O18" s="407"/>
      <c r="P18" s="408">
        <f t="shared" si="17"/>
        <v>0</v>
      </c>
      <c r="Q18" s="413">
        <f t="shared" si="18"/>
        <v>10</v>
      </c>
      <c r="R18" s="81">
        <f t="shared" si="7"/>
        <v>320</v>
      </c>
      <c r="S18" s="403" t="s">
        <v>719</v>
      </c>
      <c r="T18" s="404">
        <f>IF(ARA!J325="describe corrective action needed for any Red Flag or Yellow Flag ranking",0,1)</f>
        <v>1</v>
      </c>
      <c r="U18" s="428"/>
      <c r="V18" s="81" t="s">
        <v>1946</v>
      </c>
      <c r="AN18" s="81" t="str">
        <f t="shared" si="8"/>
        <v>SCANNING</v>
      </c>
      <c r="AO18" s="387">
        <f t="shared" si="19"/>
        <v>320</v>
      </c>
      <c r="AQ18" s="641">
        <v>140</v>
      </c>
      <c r="AR18" t="s">
        <v>2060</v>
      </c>
      <c r="AS18" t="s">
        <v>2061</v>
      </c>
      <c r="AT18" t="s">
        <v>2029</v>
      </c>
      <c r="AU18" s="642">
        <v>1542495</v>
      </c>
    </row>
    <row r="19" spans="1:47" ht="12.9" x14ac:dyDescent="0.35">
      <c r="A19" s="415" t="str">
        <f>IF(B25=1,"redundant entries",IF(B26=TRUE,"NO GRADE",IF(A18="grade(s) missing","",IF(N15=TRUE,"BLACK FLAG",IF(A18&gt;=0.98,"DIAMOND MEDAL",IF(A18&gt;=0.83,"PLATINUM MEDAL",IF(A18&gt;=0.68,"GOLD MEDAL",IF(A18&gt;=0.48,"YELLOW FLAG","RED FLAG"))))))))</f>
        <v/>
      </c>
      <c r="B19" s="407"/>
      <c r="C19" s="407" t="s">
        <v>720</v>
      </c>
      <c r="D19" s="931"/>
      <c r="E19" s="427">
        <v>22</v>
      </c>
      <c r="F19" s="407"/>
      <c r="G19" s="409">
        <v>0</v>
      </c>
      <c r="H19" s="376">
        <f t="shared" si="10"/>
        <v>0</v>
      </c>
      <c r="I19" s="411" t="b">
        <f t="shared" si="11"/>
        <v>0</v>
      </c>
      <c r="J19" s="411" t="b">
        <f t="shared" si="12"/>
        <v>0</v>
      </c>
      <c r="K19" s="412" t="b">
        <f t="shared" si="13"/>
        <v>0</v>
      </c>
      <c r="L19" s="411" t="b">
        <f t="shared" si="14"/>
        <v>0</v>
      </c>
      <c r="M19" s="411" t="b">
        <f t="shared" si="15"/>
        <v>0</v>
      </c>
      <c r="N19" s="411" t="b">
        <f t="shared" si="16"/>
        <v>0</v>
      </c>
      <c r="O19" s="407"/>
      <c r="P19" s="408">
        <f t="shared" si="17"/>
        <v>0</v>
      </c>
      <c r="Q19" s="413">
        <f t="shared" si="18"/>
        <v>22</v>
      </c>
      <c r="R19" s="81">
        <f t="shared" si="7"/>
        <v>704</v>
      </c>
      <c r="S19" s="403" t="s">
        <v>720</v>
      </c>
      <c r="T19" s="404">
        <f>IF(ARA!J343="describe corrective action needed for any Red Flag or Yellow Flag ranking",0,1)</f>
        <v>1</v>
      </c>
      <c r="V19" s="81" t="s">
        <v>1947</v>
      </c>
      <c r="X19" s="81" t="b">
        <v>0</v>
      </c>
      <c r="AN19" s="81" t="str">
        <f t="shared" si="8"/>
        <v>SWIMMER TESTING</v>
      </c>
      <c r="AO19" s="387">
        <f t="shared" si="19"/>
        <v>704</v>
      </c>
      <c r="AQ19" s="641">
        <v>153</v>
      </c>
      <c r="AR19" t="s">
        <v>2062</v>
      </c>
      <c r="AS19" t="s">
        <v>2063</v>
      </c>
      <c r="AT19" t="s">
        <v>2064</v>
      </c>
      <c r="AU19" s="642">
        <v>2551900</v>
      </c>
    </row>
    <row r="20" spans="1:47" ht="12.9" x14ac:dyDescent="0.35">
      <c r="A20" s="406"/>
      <c r="B20" s="407"/>
      <c r="C20" s="407" t="s">
        <v>721</v>
      </c>
      <c r="D20" s="931"/>
      <c r="E20" s="427">
        <v>6</v>
      </c>
      <c r="F20" s="407"/>
      <c r="G20" s="409">
        <v>0</v>
      </c>
      <c r="H20" s="376">
        <f t="shared" si="10"/>
        <v>0</v>
      </c>
      <c r="I20" s="411" t="b">
        <f t="shared" si="11"/>
        <v>0</v>
      </c>
      <c r="J20" s="411" t="b">
        <f t="shared" si="12"/>
        <v>0</v>
      </c>
      <c r="K20" s="412" t="b">
        <f t="shared" si="13"/>
        <v>0</v>
      </c>
      <c r="L20" s="411" t="b">
        <f t="shared" si="14"/>
        <v>0</v>
      </c>
      <c r="M20" s="411" t="b">
        <f t="shared" si="15"/>
        <v>0</v>
      </c>
      <c r="N20" s="411" t="b">
        <f t="shared" si="16"/>
        <v>0</v>
      </c>
      <c r="O20" s="407"/>
      <c r="P20" s="408">
        <f t="shared" si="17"/>
        <v>0</v>
      </c>
      <c r="Q20" s="413">
        <f t="shared" si="18"/>
        <v>6</v>
      </c>
      <c r="R20" s="81">
        <f t="shared" si="7"/>
        <v>192</v>
      </c>
      <c r="S20" s="403" t="s">
        <v>721</v>
      </c>
      <c r="T20" s="404">
        <f>IF(ARA!J361="describe corrective action needed for any Red Flag or Yellow Flag ranking",0,1)</f>
        <v>1</v>
      </c>
      <c r="V20" s="81" t="s">
        <v>1953</v>
      </c>
      <c r="X20" s="387" t="b">
        <v>0</v>
      </c>
      <c r="AN20" s="81" t="str">
        <f t="shared" si="8"/>
        <v>LG ROTATION</v>
      </c>
      <c r="AO20" s="387">
        <f t="shared" si="19"/>
        <v>192</v>
      </c>
      <c r="AQ20" s="641">
        <v>160</v>
      </c>
      <c r="AR20" t="s">
        <v>2065</v>
      </c>
      <c r="AS20" t="s">
        <v>2066</v>
      </c>
      <c r="AT20" t="s">
        <v>2067</v>
      </c>
      <c r="AU20" s="642">
        <v>37839556</v>
      </c>
    </row>
    <row r="21" spans="1:47" ht="12.9" x14ac:dyDescent="0.35">
      <c r="A21" s="406"/>
      <c r="B21" s="407"/>
      <c r="C21" s="407" t="s">
        <v>722</v>
      </c>
      <c r="D21" s="931"/>
      <c r="E21" s="427">
        <v>5</v>
      </c>
      <c r="F21" s="407"/>
      <c r="G21" s="409">
        <v>0</v>
      </c>
      <c r="H21" s="376">
        <f t="shared" si="10"/>
        <v>0</v>
      </c>
      <c r="I21" s="411" t="b">
        <f t="shared" si="11"/>
        <v>0</v>
      </c>
      <c r="J21" s="411" t="b">
        <f t="shared" si="12"/>
        <v>0</v>
      </c>
      <c r="K21" s="412" t="b">
        <f t="shared" si="13"/>
        <v>0</v>
      </c>
      <c r="L21" s="411" t="b">
        <f t="shared" si="14"/>
        <v>0</v>
      </c>
      <c r="M21" s="411" t="b">
        <f t="shared" si="15"/>
        <v>0</v>
      </c>
      <c r="N21" s="411" t="b">
        <f t="shared" si="16"/>
        <v>0</v>
      </c>
      <c r="O21" s="407"/>
      <c r="P21" s="408">
        <f t="shared" si="17"/>
        <v>0</v>
      </c>
      <c r="Q21" s="413">
        <f t="shared" si="18"/>
        <v>5</v>
      </c>
      <c r="R21" s="81">
        <f t="shared" si="7"/>
        <v>160</v>
      </c>
      <c r="S21" s="403" t="s">
        <v>722</v>
      </c>
      <c r="T21" s="404">
        <f>IF(ARA!J382="describe corrective action needed for any Red Flag or Yellow Flag ranking",0,1)</f>
        <v>1</v>
      </c>
      <c r="AN21" s="81" t="str">
        <f t="shared" si="8"/>
        <v>EMERGENCY RESPONSE</v>
      </c>
      <c r="AO21" s="387">
        <f t="shared" si="19"/>
        <v>160</v>
      </c>
      <c r="AQ21" s="641">
        <v>189</v>
      </c>
      <c r="AR21" t="s">
        <v>2068</v>
      </c>
      <c r="AS21" t="s">
        <v>2069</v>
      </c>
      <c r="AT21" t="s">
        <v>2067</v>
      </c>
      <c r="AU21" s="642">
        <v>3107877</v>
      </c>
    </row>
    <row r="22" spans="1:47" ht="12.9" x14ac:dyDescent="0.35">
      <c r="A22" s="416"/>
      <c r="B22" s="407"/>
      <c r="C22" s="407" t="s">
        <v>724</v>
      </c>
      <c r="D22" s="931"/>
      <c r="E22" s="427">
        <v>9</v>
      </c>
      <c r="F22" s="407"/>
      <c r="G22" s="409">
        <v>0</v>
      </c>
      <c r="H22" s="376">
        <f t="shared" si="10"/>
        <v>0</v>
      </c>
      <c r="I22" s="411" t="b">
        <f t="shared" si="11"/>
        <v>0</v>
      </c>
      <c r="J22" s="411" t="b">
        <f t="shared" si="12"/>
        <v>0</v>
      </c>
      <c r="K22" s="412" t="b">
        <f t="shared" si="13"/>
        <v>0</v>
      </c>
      <c r="L22" s="411" t="b">
        <f t="shared" si="14"/>
        <v>0</v>
      </c>
      <c r="M22" s="411" t="b">
        <f t="shared" si="15"/>
        <v>0</v>
      </c>
      <c r="N22" s="411" t="b">
        <f t="shared" si="16"/>
        <v>0</v>
      </c>
      <c r="O22" s="407"/>
      <c r="P22" s="408">
        <f t="shared" si="17"/>
        <v>0</v>
      </c>
      <c r="Q22" s="413">
        <f t="shared" si="18"/>
        <v>9</v>
      </c>
      <c r="R22" s="81">
        <f t="shared" si="7"/>
        <v>288</v>
      </c>
      <c r="S22" s="403" t="s">
        <v>724</v>
      </c>
      <c r="T22" s="404">
        <f>IF(ARA!J401="describe corrective action needed for any Red Flag or Yellow Flag ranking",0,1)</f>
        <v>1</v>
      </c>
      <c r="AN22" s="81" t="str">
        <f t="shared" si="8"/>
        <v>AUDITS</v>
      </c>
      <c r="AO22" s="387">
        <f t="shared" si="19"/>
        <v>288</v>
      </c>
      <c r="AQ22" s="641">
        <v>192</v>
      </c>
      <c r="AR22" t="s">
        <v>2070</v>
      </c>
      <c r="AS22" t="s">
        <v>2071</v>
      </c>
      <c r="AT22" t="s">
        <v>2067</v>
      </c>
      <c r="AU22" s="642">
        <v>11738833</v>
      </c>
    </row>
    <row r="23" spans="1:47" ht="12.9" x14ac:dyDescent="0.35">
      <c r="A23" s="416"/>
      <c r="B23" s="407"/>
      <c r="C23" s="407" t="s">
        <v>725</v>
      </c>
      <c r="D23" s="931"/>
      <c r="E23" s="427">
        <v>10</v>
      </c>
      <c r="F23" s="407"/>
      <c r="G23" s="409">
        <v>0</v>
      </c>
      <c r="H23" s="376">
        <f t="shared" si="10"/>
        <v>0</v>
      </c>
      <c r="I23" s="411" t="b">
        <f t="shared" si="11"/>
        <v>0</v>
      </c>
      <c r="J23" s="411" t="b">
        <f t="shared" si="12"/>
        <v>0</v>
      </c>
      <c r="K23" s="412" t="b">
        <f t="shared" si="13"/>
        <v>0</v>
      </c>
      <c r="L23" s="411" t="b">
        <f t="shared" si="14"/>
        <v>0</v>
      </c>
      <c r="M23" s="411" t="b">
        <f t="shared" si="15"/>
        <v>0</v>
      </c>
      <c r="N23" s="411" t="b">
        <f t="shared" si="16"/>
        <v>0</v>
      </c>
      <c r="O23" s="407"/>
      <c r="P23" s="408">
        <f t="shared" si="17"/>
        <v>0</v>
      </c>
      <c r="Q23" s="413">
        <f t="shared" si="18"/>
        <v>10</v>
      </c>
      <c r="R23" s="81">
        <f t="shared" si="7"/>
        <v>320</v>
      </c>
      <c r="S23" s="403" t="s">
        <v>725</v>
      </c>
      <c r="T23" s="404">
        <f>IF(ARA!J419="describe corrective action needed for any Red Flag or Yellow Flag ranking",0,1)</f>
        <v>1</v>
      </c>
      <c r="AN23" s="81" t="str">
        <f t="shared" si="8"/>
        <v>IN-SERVICE</v>
      </c>
      <c r="AO23" s="387">
        <f t="shared" si="19"/>
        <v>320</v>
      </c>
      <c r="AQ23" s="641">
        <v>212</v>
      </c>
      <c r="AR23" t="s">
        <v>2072</v>
      </c>
      <c r="AS23" t="s">
        <v>2073</v>
      </c>
      <c r="AT23" t="s">
        <v>2074</v>
      </c>
      <c r="AU23" s="642">
        <v>1296479</v>
      </c>
    </row>
    <row r="24" spans="1:47" ht="12.9" x14ac:dyDescent="0.35">
      <c r="A24" s="406"/>
      <c r="B24" s="407" t="b">
        <v>1</v>
      </c>
      <c r="C24" s="407" t="s">
        <v>726</v>
      </c>
      <c r="D24" s="931"/>
      <c r="E24" s="427">
        <v>3</v>
      </c>
      <c r="F24" s="407"/>
      <c r="G24" s="409">
        <v>0</v>
      </c>
      <c r="H24" s="376">
        <f t="shared" si="10"/>
        <v>0</v>
      </c>
      <c r="I24" s="411" t="b">
        <f t="shared" si="11"/>
        <v>0</v>
      </c>
      <c r="J24" s="411" t="b">
        <f t="shared" si="12"/>
        <v>0</v>
      </c>
      <c r="K24" s="412" t="b">
        <f t="shared" si="13"/>
        <v>0</v>
      </c>
      <c r="L24" s="411" t="b">
        <f t="shared" si="14"/>
        <v>0</v>
      </c>
      <c r="M24" s="411" t="b">
        <f t="shared" si="15"/>
        <v>0</v>
      </c>
      <c r="N24" s="411" t="b">
        <f t="shared" si="16"/>
        <v>0</v>
      </c>
      <c r="O24" s="407"/>
      <c r="P24" s="408">
        <f t="shared" si="17"/>
        <v>0</v>
      </c>
      <c r="Q24" s="413">
        <f t="shared" si="18"/>
        <v>3</v>
      </c>
      <c r="R24" s="81">
        <f t="shared" si="7"/>
        <v>96</v>
      </c>
      <c r="S24" s="403" t="s">
        <v>726</v>
      </c>
      <c r="T24" s="404">
        <f>IF(ARA!J437="describe corrective action needed for any Red Flag or Yellow Flag ranking",0,1)</f>
        <v>1</v>
      </c>
      <c r="AN24" s="81" t="str">
        <f t="shared" si="8"/>
        <v>POOL CHARACTERISTICS</v>
      </c>
      <c r="AO24" s="387">
        <f t="shared" si="19"/>
        <v>96</v>
      </c>
      <c r="AQ24" s="641">
        <v>216</v>
      </c>
      <c r="AR24" t="s">
        <v>2075</v>
      </c>
      <c r="AS24" t="s">
        <v>2076</v>
      </c>
      <c r="AT24" t="s">
        <v>2074</v>
      </c>
      <c r="AU24" s="642">
        <v>617723</v>
      </c>
    </row>
    <row r="25" spans="1:47" ht="12.9" x14ac:dyDescent="0.35">
      <c r="A25" s="406"/>
      <c r="B25" s="407" t="str">
        <f>IF(B26=FALSE,"",IF(SUM(G15:G26)=0,"",1))</f>
        <v/>
      </c>
      <c r="C25" s="407" t="s">
        <v>727</v>
      </c>
      <c r="D25" s="931"/>
      <c r="E25" s="427">
        <v>5</v>
      </c>
      <c r="F25" s="407"/>
      <c r="G25" s="409">
        <v>0</v>
      </c>
      <c r="H25" s="376">
        <f t="shared" si="10"/>
        <v>0</v>
      </c>
      <c r="I25" s="411" t="b">
        <f t="shared" si="11"/>
        <v>0</v>
      </c>
      <c r="J25" s="411" t="b">
        <f t="shared" si="12"/>
        <v>0</v>
      </c>
      <c r="K25" s="412" t="b">
        <f t="shared" si="13"/>
        <v>0</v>
      </c>
      <c r="L25" s="411" t="b">
        <f t="shared" si="14"/>
        <v>0</v>
      </c>
      <c r="M25" s="411" t="b">
        <f t="shared" si="15"/>
        <v>0</v>
      </c>
      <c r="N25" s="411" t="b">
        <f t="shared" si="16"/>
        <v>0</v>
      </c>
      <c r="O25" s="407"/>
      <c r="P25" s="408">
        <f t="shared" si="17"/>
        <v>0</v>
      </c>
      <c r="Q25" s="413">
        <f t="shared" si="18"/>
        <v>5</v>
      </c>
      <c r="R25" s="81">
        <f t="shared" si="7"/>
        <v>160</v>
      </c>
      <c r="S25" s="403" t="s">
        <v>727</v>
      </c>
      <c r="T25" s="404">
        <f>IF(ARA!J455="describe corrective action needed for any Red Flag or Yellow Flag ranking",0,1)</f>
        <v>1</v>
      </c>
      <c r="AN25" s="81" t="str">
        <f t="shared" si="8"/>
        <v>LG HIRING PRACTICES</v>
      </c>
      <c r="AO25" s="387">
        <f t="shared" si="19"/>
        <v>160</v>
      </c>
      <c r="AQ25" s="641">
        <v>218</v>
      </c>
      <c r="AR25" t="s">
        <v>2077</v>
      </c>
      <c r="AS25" t="s">
        <v>2078</v>
      </c>
      <c r="AT25" t="s">
        <v>2074</v>
      </c>
      <c r="AU25" s="642">
        <v>1567961</v>
      </c>
    </row>
    <row r="26" spans="1:47" ht="13.3" thickBot="1" x14ac:dyDescent="0.4">
      <c r="A26" s="417"/>
      <c r="B26" s="429" t="b">
        <v>0</v>
      </c>
      <c r="C26" s="418" t="s">
        <v>728</v>
      </c>
      <c r="D26" s="932"/>
      <c r="E26" s="430">
        <v>5</v>
      </c>
      <c r="F26" s="418"/>
      <c r="G26" s="420">
        <v>0</v>
      </c>
      <c r="H26" s="421">
        <f t="shared" si="10"/>
        <v>0</v>
      </c>
      <c r="I26" s="422" t="b">
        <f t="shared" si="11"/>
        <v>0</v>
      </c>
      <c r="J26" s="422" t="b">
        <f t="shared" si="12"/>
        <v>0</v>
      </c>
      <c r="K26" s="423" t="b">
        <f t="shared" si="13"/>
        <v>0</v>
      </c>
      <c r="L26" s="422" t="b">
        <f t="shared" si="14"/>
        <v>0</v>
      </c>
      <c r="M26" s="422" t="b">
        <f t="shared" si="15"/>
        <v>0</v>
      </c>
      <c r="N26" s="422" t="b">
        <f t="shared" si="16"/>
        <v>0</v>
      </c>
      <c r="O26" s="418"/>
      <c r="P26" s="419">
        <f t="shared" si="17"/>
        <v>0</v>
      </c>
      <c r="Q26" s="424">
        <f t="shared" si="18"/>
        <v>5</v>
      </c>
      <c r="R26" s="81">
        <f t="shared" si="7"/>
        <v>160</v>
      </c>
      <c r="S26" s="403" t="s">
        <v>728</v>
      </c>
      <c r="T26" s="404">
        <f>IF(ARA!J473="describe corrective action needed for any Red Flag or Yellow Flag ranking",0,1)</f>
        <v>1</v>
      </c>
      <c r="AN26" s="81" t="str">
        <f t="shared" si="8"/>
        <v>AQUATIC MGMT</v>
      </c>
      <c r="AO26" s="387">
        <f t="shared" si="19"/>
        <v>160</v>
      </c>
      <c r="AQ26" s="641">
        <v>230</v>
      </c>
      <c r="AR26" t="s">
        <v>2079</v>
      </c>
      <c r="AS26" t="s">
        <v>2080</v>
      </c>
      <c r="AT26" t="s">
        <v>2074</v>
      </c>
      <c r="AU26" s="642">
        <v>428220</v>
      </c>
    </row>
    <row r="27" spans="1:47" ht="13.75" thickTop="1" thickBot="1" x14ac:dyDescent="0.4">
      <c r="I27" s="425" t="s">
        <v>167</v>
      </c>
      <c r="J27" s="425" t="s">
        <v>172</v>
      </c>
      <c r="K27" s="425" t="s">
        <v>168</v>
      </c>
      <c r="L27" s="425" t="s">
        <v>169</v>
      </c>
      <c r="M27" s="425" t="s">
        <v>170</v>
      </c>
      <c r="N27" s="425" t="s">
        <v>171</v>
      </c>
      <c r="Q27" s="407"/>
      <c r="R27" s="81">
        <f>SUM(R15:R26)</f>
        <v>3200</v>
      </c>
      <c r="S27" s="403"/>
      <c r="T27" s="404"/>
      <c r="AO27" s="387"/>
      <c r="AQ27" s="641">
        <v>240</v>
      </c>
      <c r="AR27" t="s">
        <v>2081</v>
      </c>
      <c r="AS27" t="s">
        <v>2082</v>
      </c>
      <c r="AT27" t="s">
        <v>2074</v>
      </c>
      <c r="AU27" s="642">
        <v>445723</v>
      </c>
    </row>
    <row r="28" spans="1:47" ht="13.3" thickTop="1" x14ac:dyDescent="0.35">
      <c r="A28" s="393" t="s">
        <v>714</v>
      </c>
      <c r="B28" s="394"/>
      <c r="C28" s="394" t="s">
        <v>729</v>
      </c>
      <c r="D28" s="930">
        <v>14</v>
      </c>
      <c r="E28" s="426">
        <v>21</v>
      </c>
      <c r="F28" s="394"/>
      <c r="G28" s="397">
        <v>0</v>
      </c>
      <c r="H28" s="398">
        <f>IF(G28&gt;0,1,0)</f>
        <v>0</v>
      </c>
      <c r="I28" s="400" t="b">
        <f>IF(G28=6,TRUE,FALSE)</f>
        <v>0</v>
      </c>
      <c r="J28" s="400" t="b">
        <f>IF(G28=1,TRUE,FALSE)</f>
        <v>0</v>
      </c>
      <c r="K28" s="401" t="b">
        <f>IF(G28=2,TRUE,FALSE)</f>
        <v>0</v>
      </c>
      <c r="L28" s="400" t="b">
        <f>IF(G28=3,TRUE,FALSE)</f>
        <v>0</v>
      </c>
      <c r="M28" s="400" t="b">
        <f>IF(G28=4,TRUE,FALSE)</f>
        <v>0</v>
      </c>
      <c r="N28" s="400" t="b">
        <f>IF(G28=5,TRUE,FALSE)</f>
        <v>0</v>
      </c>
      <c r="O28" s="394"/>
      <c r="P28" s="395">
        <f>IF(J28=TRUE,E28,IF(K28=TRUE,E28*0.85,IF(L28=TRUE,E28*0.7,IF(M28=TRUE,E28*0.5,0))))</f>
        <v>0</v>
      </c>
      <c r="Q28" s="402">
        <f>IF(I28=TRUE,0,E28)</f>
        <v>21</v>
      </c>
      <c r="R28" s="81">
        <f>14*E28</f>
        <v>294</v>
      </c>
      <c r="S28" s="403" t="s">
        <v>729</v>
      </c>
      <c r="T28" s="404">
        <f>IF(ARA!J513="describe corrective action needed for any Red Flag or Yellow Flag ranking",0,1)</f>
        <v>1</v>
      </c>
      <c r="AN28" s="81" t="str">
        <f t="shared" si="8"/>
        <v>DRIVER EXPERIENCE</v>
      </c>
      <c r="AO28" s="387">
        <f>$D$28*(Q28-P28)</f>
        <v>294</v>
      </c>
      <c r="AQ28" s="641">
        <v>244</v>
      </c>
      <c r="AR28" t="s">
        <v>2083</v>
      </c>
      <c r="AS28" t="s">
        <v>2084</v>
      </c>
      <c r="AT28" t="s">
        <v>2085</v>
      </c>
      <c r="AU28" s="642">
        <v>9411244</v>
      </c>
    </row>
    <row r="29" spans="1:47" ht="12.9" x14ac:dyDescent="0.35">
      <c r="A29" s="406">
        <f>SUM(P28:P32)</f>
        <v>0</v>
      </c>
      <c r="B29" s="407"/>
      <c r="C29" s="407" t="s">
        <v>730</v>
      </c>
      <c r="D29" s="931"/>
      <c r="E29" s="427">
        <v>18</v>
      </c>
      <c r="F29" s="407"/>
      <c r="G29" s="409">
        <v>0</v>
      </c>
      <c r="H29" s="376">
        <f>IF(G29&gt;0,1,0)</f>
        <v>0</v>
      </c>
      <c r="I29" s="411" t="b">
        <f>IF(G29=6,TRUE,FALSE)</f>
        <v>0</v>
      </c>
      <c r="J29" s="411" t="b">
        <f>IF(G29=1,TRUE,FALSE)</f>
        <v>0</v>
      </c>
      <c r="K29" s="412" t="b">
        <f>IF(G29=2,TRUE,FALSE)</f>
        <v>0</v>
      </c>
      <c r="L29" s="411" t="b">
        <f>IF(G29=3,TRUE,FALSE)</f>
        <v>0</v>
      </c>
      <c r="M29" s="411" t="b">
        <f>IF(G29=4,TRUE,FALSE)</f>
        <v>0</v>
      </c>
      <c r="N29" s="411" t="b">
        <f>IF(G29=5,TRUE,FALSE)</f>
        <v>0</v>
      </c>
      <c r="O29" s="407"/>
      <c r="P29" s="408">
        <f>IF(J29=TRUE,E29,IF(K29=TRUE,E29*0.85,IF(L29=TRUE,E29*0.7,IF(M29=TRUE,E29*0.5,0))))</f>
        <v>0</v>
      </c>
      <c r="Q29" s="413">
        <f>IF(I29=TRUE,0,E29)</f>
        <v>18</v>
      </c>
      <c r="R29" s="81">
        <f>14*E29</f>
        <v>252</v>
      </c>
      <c r="S29" s="403" t="s">
        <v>730</v>
      </c>
      <c r="T29" s="404">
        <f>IF(ARA!J533="describe corrective action needed for any Red Flag or Yellow Flag ranking",0,1)</f>
        <v>1</v>
      </c>
      <c r="AN29" s="81" t="str">
        <f t="shared" si="8"/>
        <v>DRIVER TRAINING</v>
      </c>
      <c r="AO29" s="387">
        <f>$D$28*(Q29-P29)</f>
        <v>252</v>
      </c>
      <c r="AQ29" s="641">
        <v>252</v>
      </c>
      <c r="AR29" t="s">
        <v>2086</v>
      </c>
      <c r="AS29" t="s">
        <v>2087</v>
      </c>
      <c r="AT29" t="s">
        <v>2085</v>
      </c>
      <c r="AU29" s="642">
        <v>20598555</v>
      </c>
    </row>
    <row r="30" spans="1:47" ht="12.9" x14ac:dyDescent="0.35">
      <c r="A30" s="406">
        <f>SUM(Q28:Q32)</f>
        <v>100</v>
      </c>
      <c r="B30" s="407"/>
      <c r="C30" s="407" t="s">
        <v>732</v>
      </c>
      <c r="D30" s="931"/>
      <c r="E30" s="427">
        <v>13</v>
      </c>
      <c r="F30" s="407"/>
      <c r="G30" s="409">
        <v>0</v>
      </c>
      <c r="H30" s="376">
        <f>IF(G30&gt;0,1,0)</f>
        <v>0</v>
      </c>
      <c r="I30" s="431"/>
      <c r="J30" s="411" t="b">
        <f>IF(G30=1,TRUE,FALSE)</f>
        <v>0</v>
      </c>
      <c r="K30" s="412" t="b">
        <f>IF(G30=2,TRUE,FALSE)</f>
        <v>0</v>
      </c>
      <c r="L30" s="411" t="b">
        <f>IF(G30=3,TRUE,FALSE)</f>
        <v>0</v>
      </c>
      <c r="M30" s="411" t="b">
        <f>IF(G30=4,TRUE,FALSE)</f>
        <v>0</v>
      </c>
      <c r="N30" s="411" t="b">
        <f>IF(G30=5,TRUE,FALSE)</f>
        <v>0</v>
      </c>
      <c r="O30" s="407"/>
      <c r="P30" s="408">
        <f>IF(J30=TRUE,E30,IF(K30=TRUE,E30*0.85,IF(L30=TRUE,E30*0.7,IF(M30=TRUE,E30*0.5,0))))</f>
        <v>0</v>
      </c>
      <c r="Q30" s="413">
        <f>E30</f>
        <v>13</v>
      </c>
      <c r="R30" s="81">
        <f>14*E30</f>
        <v>182</v>
      </c>
      <c r="S30" s="403" t="s">
        <v>732</v>
      </c>
      <c r="T30" s="404">
        <f>IF(ARA!J551="describe corrective action needed for any Red Flag or Yellow Flag ranking",0,1)</f>
        <v>1</v>
      </c>
      <c r="U30" s="428"/>
      <c r="AN30" s="81" t="str">
        <f t="shared" si="8"/>
        <v>PERSONAL VEHICLES</v>
      </c>
      <c r="AO30" s="387">
        <f>$D$28*(Q30-P30)</f>
        <v>182</v>
      </c>
      <c r="AQ30" s="641">
        <v>272</v>
      </c>
      <c r="AR30" t="s">
        <v>2088</v>
      </c>
      <c r="AS30" t="s">
        <v>2089</v>
      </c>
      <c r="AT30" t="s">
        <v>2085</v>
      </c>
      <c r="AU30" s="642">
        <v>4928835</v>
      </c>
    </row>
    <row r="31" spans="1:47" ht="12.9" x14ac:dyDescent="0.35">
      <c r="A31" s="414" t="str">
        <f>IF(X6=5,A29/A30,"grade(s) missing")</f>
        <v>grade(s) missing</v>
      </c>
      <c r="B31" s="407"/>
      <c r="C31" s="407" t="s">
        <v>733</v>
      </c>
      <c r="D31" s="931"/>
      <c r="E31" s="427">
        <v>35</v>
      </c>
      <c r="F31" s="407"/>
      <c r="G31" s="409">
        <v>0</v>
      </c>
      <c r="H31" s="376">
        <f>IF(G31&gt;0,1,0)</f>
        <v>0</v>
      </c>
      <c r="I31" s="431"/>
      <c r="J31" s="411" t="b">
        <f>IF(G31=1,TRUE,FALSE)</f>
        <v>0</v>
      </c>
      <c r="K31" s="412" t="b">
        <f>IF(G31=2,TRUE,FALSE)</f>
        <v>0</v>
      </c>
      <c r="L31" s="411" t="b">
        <f>IF(G31=3,TRUE,FALSE)</f>
        <v>0</v>
      </c>
      <c r="M31" s="411" t="b">
        <f>IF(G31=4,TRUE,FALSE)</f>
        <v>0</v>
      </c>
      <c r="N31" s="411" t="b">
        <f>IF(G31=5,TRUE,FALSE)</f>
        <v>0</v>
      </c>
      <c r="O31" s="407"/>
      <c r="P31" s="408">
        <f>IF(J31=TRUE,E31,IF(K31=TRUE,E31*0.85,IF(L31=TRUE,E31*0.7,IF(M31=TRUE,E31*0.5,0))))</f>
        <v>0</v>
      </c>
      <c r="Q31" s="413">
        <f>E31</f>
        <v>35</v>
      </c>
      <c r="R31" s="81">
        <f>14*E31</f>
        <v>490</v>
      </c>
      <c r="S31" s="403" t="s">
        <v>733</v>
      </c>
      <c r="T31" s="404">
        <f>IF(ARA!J565="describe corrective action needed for any Red Flag or Yellow Flag ranking",0,1)</f>
        <v>1</v>
      </c>
      <c r="AN31" s="81" t="str">
        <f t="shared" si="8"/>
        <v>VEHICLE TYPE</v>
      </c>
      <c r="AO31" s="387">
        <f>$D$28*(Q31-P31)</f>
        <v>490</v>
      </c>
      <c r="AQ31" s="641">
        <v>277</v>
      </c>
      <c r="AR31" t="s">
        <v>2090</v>
      </c>
      <c r="AS31" t="s">
        <v>2091</v>
      </c>
      <c r="AT31" t="s">
        <v>2085</v>
      </c>
      <c r="AU31" s="642">
        <v>6125489</v>
      </c>
    </row>
    <row r="32" spans="1:47" ht="13.3" thickBot="1" x14ac:dyDescent="0.4">
      <c r="A32" s="432" t="str">
        <f>IF(A31="grade(s) missing","",IF(A31&gt;=0.98,"DIAMOND MEDAL",IF(A31&gt;=0.83,"PLATINUM MEDAL",IF(A31&gt;=0.68,"GOLD MEDAL",IF(A31&gt;=0.48,"YELLOW FLAG","RED FLAG")))))</f>
        <v/>
      </c>
      <c r="B32" s="418"/>
      <c r="C32" s="418" t="s">
        <v>734</v>
      </c>
      <c r="D32" s="932"/>
      <c r="E32" s="430">
        <v>13</v>
      </c>
      <c r="F32" s="418"/>
      <c r="G32" s="420">
        <v>0</v>
      </c>
      <c r="H32" s="421">
        <f>IF(G32&gt;0,1,0)</f>
        <v>0</v>
      </c>
      <c r="I32" s="422" t="b">
        <f>IF(G32=6,TRUE,FALSE)</f>
        <v>0</v>
      </c>
      <c r="J32" s="422" t="b">
        <f>IF(G32=1,TRUE,FALSE)</f>
        <v>0</v>
      </c>
      <c r="K32" s="423" t="b">
        <f>IF(G32=2,TRUE,FALSE)</f>
        <v>0</v>
      </c>
      <c r="L32" s="422" t="b">
        <f>IF(G32=3,TRUE,FALSE)</f>
        <v>0</v>
      </c>
      <c r="M32" s="422" t="b">
        <f>IF(G32=4,TRUE,FALSE)</f>
        <v>0</v>
      </c>
      <c r="N32" s="422" t="b">
        <f>IF(G32=5,TRUE,FALSE)</f>
        <v>0</v>
      </c>
      <c r="O32" s="418"/>
      <c r="P32" s="419">
        <f>IF(J32=TRUE,E32,IF(K32=TRUE,E32*0.85,IF(L32=TRUE,E32*0.7,IF(M32=TRUE,E32*0.5,0))))</f>
        <v>0</v>
      </c>
      <c r="Q32" s="424">
        <f>IF(I32=TRUE,0,E32)</f>
        <v>13</v>
      </c>
      <c r="R32" s="81">
        <f>14*E32</f>
        <v>182</v>
      </c>
      <c r="S32" s="403" t="s">
        <v>734</v>
      </c>
      <c r="T32" s="404">
        <f>IF(ARA!J585="describe corrective action needed for any Red Flag or Yellow Flag ranking",0,1)</f>
        <v>1</v>
      </c>
      <c r="AN32" s="81" t="str">
        <f t="shared" si="8"/>
        <v>MAINTENANCE</v>
      </c>
      <c r="AO32" s="387">
        <f>$D$28*(Q32-P32)</f>
        <v>182</v>
      </c>
      <c r="AQ32" s="641">
        <v>284</v>
      </c>
      <c r="AR32" t="s">
        <v>2092</v>
      </c>
      <c r="AS32" t="s">
        <v>2093</v>
      </c>
      <c r="AT32" t="s">
        <v>2085</v>
      </c>
      <c r="AU32" s="642">
        <v>2066827</v>
      </c>
    </row>
    <row r="33" spans="1:47" ht="13.75" thickTop="1" thickBot="1" x14ac:dyDescent="0.4">
      <c r="A33" s="386"/>
      <c r="I33" s="425" t="s">
        <v>167</v>
      </c>
      <c r="J33" s="425" t="s">
        <v>172</v>
      </c>
      <c r="K33" s="425" t="s">
        <v>168</v>
      </c>
      <c r="L33" s="425" t="s">
        <v>169</v>
      </c>
      <c r="M33" s="425" t="s">
        <v>170</v>
      </c>
      <c r="N33" s="425" t="s">
        <v>171</v>
      </c>
      <c r="Q33" s="407"/>
      <c r="R33" s="81">
        <f>SUM(R28:R32)</f>
        <v>1400</v>
      </c>
      <c r="S33" s="403"/>
      <c r="T33" s="404"/>
      <c r="AO33" s="387"/>
      <c r="AQ33" s="641">
        <v>288</v>
      </c>
      <c r="AR33" t="s">
        <v>2094</v>
      </c>
      <c r="AS33" t="s">
        <v>2095</v>
      </c>
      <c r="AT33" t="s">
        <v>2085</v>
      </c>
      <c r="AU33" s="642">
        <v>8401515</v>
      </c>
    </row>
    <row r="34" spans="1:47" ht="13.3" thickTop="1" x14ac:dyDescent="0.35">
      <c r="A34" s="393" t="s">
        <v>735</v>
      </c>
      <c r="B34" s="394"/>
      <c r="C34" s="394" t="s">
        <v>736</v>
      </c>
      <c r="D34" s="930">
        <v>12</v>
      </c>
      <c r="E34" s="426">
        <v>49</v>
      </c>
      <c r="F34" s="394"/>
      <c r="G34" s="397">
        <v>0</v>
      </c>
      <c r="H34" s="398">
        <f>IF(G34&gt;0,1,0)</f>
        <v>0</v>
      </c>
      <c r="I34" s="433"/>
      <c r="J34" s="400" t="b">
        <f>IF(G34=1,TRUE,FALSE)</f>
        <v>0</v>
      </c>
      <c r="K34" s="401" t="b">
        <f>IF(G34=2,TRUE,IF(G34=6,TRUE,FALSE))</f>
        <v>0</v>
      </c>
      <c r="L34" s="400" t="b">
        <f>IF(G34=3,TRUE,IF(G34=7,TRUE,FALSE))</f>
        <v>0</v>
      </c>
      <c r="M34" s="400" t="b">
        <f>IF(G34=4,TRUE,FALSE)</f>
        <v>0</v>
      </c>
      <c r="N34" s="400" t="b">
        <f>IF(G34=5,TRUE,FALSE)</f>
        <v>0</v>
      </c>
      <c r="O34" s="394"/>
      <c r="P34" s="395">
        <f>IF(J34=TRUE,E34,IF(K34=TRUE,E34*0.85,IF(L34=TRUE,E34*0.7,IF(M34=TRUE,E34*0.5,0))))</f>
        <v>0</v>
      </c>
      <c r="Q34" s="402">
        <f>E34</f>
        <v>49</v>
      </c>
      <c r="R34" s="81">
        <f>12*E34</f>
        <v>588</v>
      </c>
      <c r="S34" s="403" t="s">
        <v>736</v>
      </c>
      <c r="T34" s="404">
        <f>IF(ARA!J619="describe corrective action needed for any Red Flag or Yellow Flag ranking",0,1)</f>
        <v>1</v>
      </c>
      <c r="AN34" s="81" t="str">
        <f t="shared" si="8"/>
        <v>WAIVERS</v>
      </c>
      <c r="AO34" s="387">
        <f>$D$34*(Q34-P34)</f>
        <v>588</v>
      </c>
      <c r="AQ34" s="641">
        <v>306</v>
      </c>
      <c r="AR34" t="s">
        <v>2096</v>
      </c>
      <c r="AS34" t="s">
        <v>2097</v>
      </c>
      <c r="AT34" t="s">
        <v>2085</v>
      </c>
      <c r="AU34" s="642" t="s">
        <v>2059</v>
      </c>
    </row>
    <row r="35" spans="1:47" ht="12.9" x14ac:dyDescent="0.35">
      <c r="A35" s="406">
        <f>SUM(P34:P35)</f>
        <v>0</v>
      </c>
      <c r="B35" s="407"/>
      <c r="C35" s="407" t="s">
        <v>737</v>
      </c>
      <c r="D35" s="931"/>
      <c r="E35" s="427">
        <v>51</v>
      </c>
      <c r="F35" s="407"/>
      <c r="G35" s="409">
        <v>0</v>
      </c>
      <c r="H35" s="376">
        <f>IF(G35&gt;0,1,0)</f>
        <v>0</v>
      </c>
      <c r="I35" s="434"/>
      <c r="J35" s="411" t="b">
        <f>IF(G35=1,TRUE,FALSE)</f>
        <v>0</v>
      </c>
      <c r="K35" s="412" t="b">
        <f>IF(G35=2,TRUE,FALSE)</f>
        <v>0</v>
      </c>
      <c r="L35" s="411" t="b">
        <f>IF(G35=3,TRUE,FALSE)</f>
        <v>0</v>
      </c>
      <c r="M35" s="411" t="b">
        <f>IF(G35=4,TRUE,FALSE)</f>
        <v>0</v>
      </c>
      <c r="N35" s="411" t="b">
        <f>IF(G35=5,TRUE,FALSE)</f>
        <v>0</v>
      </c>
      <c r="O35" s="407"/>
      <c r="P35" s="408">
        <f>IF(J35=TRUE,E35,IF(K35=TRUE,E35*0.85,IF(L35=TRUE,E35*0.7,IF(M35=TRUE,E35*0.5,0))))</f>
        <v>0</v>
      </c>
      <c r="Q35" s="413">
        <f>E35</f>
        <v>51</v>
      </c>
      <c r="R35" s="81">
        <f>12*E35</f>
        <v>612</v>
      </c>
      <c r="S35" s="403" t="s">
        <v>737</v>
      </c>
      <c r="T35" s="404">
        <f>IF(ARA!J638="describe corrective action needed for any Red Flag or Yellow Flag ranking",0,1)</f>
        <v>1</v>
      </c>
      <c r="AN35" s="81" t="str">
        <f t="shared" si="8"/>
        <v>CONTRACTS</v>
      </c>
      <c r="AO35" s="387">
        <f>$D$34*(Q35-P35)</f>
        <v>612</v>
      </c>
      <c r="AQ35" s="641">
        <v>310</v>
      </c>
      <c r="AR35" t="s">
        <v>2098</v>
      </c>
      <c r="AS35" t="s">
        <v>2099</v>
      </c>
      <c r="AT35" t="s">
        <v>2085</v>
      </c>
      <c r="AU35" s="642">
        <v>755902</v>
      </c>
    </row>
    <row r="36" spans="1:47" ht="12.9" x14ac:dyDescent="0.35">
      <c r="A36" s="406">
        <f>SUM(Q34:Q35)</f>
        <v>100</v>
      </c>
      <c r="B36" s="407"/>
      <c r="C36" s="407"/>
      <c r="D36" s="931"/>
      <c r="E36" s="408"/>
      <c r="F36" s="407"/>
      <c r="G36" s="408"/>
      <c r="H36" s="407"/>
      <c r="I36" s="407"/>
      <c r="J36" s="408"/>
      <c r="K36" s="408"/>
      <c r="L36" s="408"/>
      <c r="M36" s="408" t="b">
        <v>0</v>
      </c>
      <c r="N36" s="408"/>
      <c r="O36" s="407"/>
      <c r="P36" s="408"/>
      <c r="Q36" s="413"/>
      <c r="R36" s="81">
        <v>11</v>
      </c>
      <c r="S36" s="403"/>
      <c r="T36" s="404"/>
      <c r="U36" s="428"/>
      <c r="AO36" s="387"/>
      <c r="AQ36" s="641">
        <v>318</v>
      </c>
      <c r="AR36" t="s">
        <v>2100</v>
      </c>
      <c r="AS36" t="s">
        <v>2101</v>
      </c>
      <c r="AT36" t="s">
        <v>2085</v>
      </c>
      <c r="AU36" s="642">
        <v>16624195</v>
      </c>
    </row>
    <row r="37" spans="1:47" ht="12.9" x14ac:dyDescent="0.35">
      <c r="A37" s="414" t="str">
        <f>IF(X7=2,A35/A36,"grade(s) missing")</f>
        <v>grade(s) missing</v>
      </c>
      <c r="B37" s="407"/>
      <c r="C37" s="407"/>
      <c r="D37" s="931"/>
      <c r="E37" s="408"/>
      <c r="F37" s="407"/>
      <c r="G37" s="408"/>
      <c r="H37" s="407"/>
      <c r="I37" s="407"/>
      <c r="J37" s="408"/>
      <c r="K37" s="408"/>
      <c r="L37" s="408"/>
      <c r="M37" s="408">
        <f>IF(M34=TRUE,IF(M36,1,2),0)</f>
        <v>0</v>
      </c>
      <c r="N37" s="408">
        <f>IF(N34=TRUE,IF(M36,1,2),0)</f>
        <v>0</v>
      </c>
      <c r="O37" s="407"/>
      <c r="P37" s="408"/>
      <c r="Q37" s="413"/>
      <c r="S37" s="403" t="s">
        <v>190</v>
      </c>
      <c r="T37" s="404">
        <f>IF(ARA!J662="describe corrective action needed for any Red Flag or Yellow Flag ranking",0,1)</f>
        <v>1</v>
      </c>
      <c r="AO37" s="387"/>
      <c r="AQ37" s="641">
        <v>346</v>
      </c>
      <c r="AR37" t="s">
        <v>2102</v>
      </c>
      <c r="AS37" t="s">
        <v>2103</v>
      </c>
      <c r="AT37" t="s">
        <v>2085</v>
      </c>
      <c r="AU37" s="642">
        <v>88807000</v>
      </c>
    </row>
    <row r="38" spans="1:47" ht="13.3" thickBot="1" x14ac:dyDescent="0.4">
      <c r="A38" s="432" t="str">
        <f>IF(A37="grade(s) missing","",IF(A37&gt;=0.98,"DIAMOND MEDAL",IF(A37&gt;=0.83,"PLATINUM MEDAL",IF(A37&gt;=0.68,"GOLD MEDAL",IF(A37&gt;=0.48,"YELLOW FLAG","RED FLAG")))))</f>
        <v/>
      </c>
      <c r="B38" s="418"/>
      <c r="C38" s="418"/>
      <c r="D38" s="932"/>
      <c r="E38" s="419"/>
      <c r="F38" s="418"/>
      <c r="G38" s="419"/>
      <c r="H38" s="418"/>
      <c r="I38" s="418"/>
      <c r="J38" s="419"/>
      <c r="K38" s="419"/>
      <c r="L38" s="419"/>
      <c r="M38" s="419">
        <f>M37+N37</f>
        <v>0</v>
      </c>
      <c r="N38" s="419"/>
      <c r="O38" s="418"/>
      <c r="P38" s="419"/>
      <c r="Q38" s="424"/>
      <c r="S38" s="403" t="s">
        <v>723</v>
      </c>
      <c r="T38" s="404">
        <f>IF(ARA!J680="describe corrective action needed for any Red Flag or Yellow Flag ranking",0,1)</f>
        <v>1</v>
      </c>
      <c r="AO38" s="387"/>
      <c r="AQ38" s="641">
        <v>480</v>
      </c>
      <c r="AR38" t="s">
        <v>2104</v>
      </c>
      <c r="AS38" t="s">
        <v>2105</v>
      </c>
      <c r="AT38" t="s">
        <v>2085</v>
      </c>
      <c r="AU38" s="642">
        <v>8414357</v>
      </c>
    </row>
    <row r="39" spans="1:47" ht="13.75" thickTop="1" thickBot="1" x14ac:dyDescent="0.4">
      <c r="A39" s="435"/>
      <c r="B39" s="407"/>
      <c r="C39" s="407"/>
      <c r="D39" s="436"/>
      <c r="E39" s="408"/>
      <c r="F39" s="407"/>
      <c r="G39" s="408"/>
      <c r="H39" s="407"/>
      <c r="I39" s="425" t="s">
        <v>167</v>
      </c>
      <c r="J39" s="425" t="s">
        <v>172</v>
      </c>
      <c r="K39" s="425" t="s">
        <v>168</v>
      </c>
      <c r="L39" s="425" t="s">
        <v>169</v>
      </c>
      <c r="M39" s="425" t="s">
        <v>170</v>
      </c>
      <c r="N39" s="425" t="s">
        <v>171</v>
      </c>
      <c r="O39" s="407"/>
      <c r="P39" s="408"/>
      <c r="Q39" s="407"/>
      <c r="R39" s="81">
        <f>SUM(R34:R35)</f>
        <v>1200</v>
      </c>
      <c r="S39" s="403" t="s">
        <v>612</v>
      </c>
      <c r="T39" s="404">
        <f>IF(ARA!J696="describe corrective action needed for any Red Flag or Yellow Flag ranking",0,1)</f>
        <v>1</v>
      </c>
      <c r="AO39" s="387"/>
      <c r="AQ39" s="641">
        <v>486</v>
      </c>
      <c r="AR39" t="s">
        <v>2106</v>
      </c>
      <c r="AS39" t="s">
        <v>2107</v>
      </c>
      <c r="AT39" t="s">
        <v>2085</v>
      </c>
      <c r="AU39" s="642">
        <v>30694423</v>
      </c>
    </row>
    <row r="40" spans="1:47" ht="13.3" thickTop="1" x14ac:dyDescent="0.35">
      <c r="A40" s="437" t="s">
        <v>186</v>
      </c>
      <c r="B40" s="394"/>
      <c r="C40" s="394" t="s">
        <v>190</v>
      </c>
      <c r="D40" s="930">
        <v>10</v>
      </c>
      <c r="E40" s="426">
        <v>12</v>
      </c>
      <c r="F40" s="394"/>
      <c r="G40" s="397">
        <v>0</v>
      </c>
      <c r="H40" s="398">
        <f>IF(G40&gt;0,1,0)</f>
        <v>0</v>
      </c>
      <c r="I40" s="438"/>
      <c r="J40" s="400" t="b">
        <f>IF(G40=1,TRUE,FALSE)</f>
        <v>0</v>
      </c>
      <c r="K40" s="401" t="b">
        <f>IF(G40=2,TRUE,FALSE)</f>
        <v>0</v>
      </c>
      <c r="L40" s="400" t="b">
        <f>IF(G40=3,TRUE,FALSE)</f>
        <v>0</v>
      </c>
      <c r="M40" s="400" t="b">
        <f>IF(G40=4,TRUE,FALSE)</f>
        <v>0</v>
      </c>
      <c r="N40" s="400" t="b">
        <f>IF(G40=5,TRUE,FALSE)</f>
        <v>0</v>
      </c>
      <c r="O40" s="394"/>
      <c r="P40" s="395">
        <f>IF(J40=TRUE,E40,IF(K40=TRUE,E40*0.85,IF(L40=TRUE,E40*0.7,IF(M40=TRUE,E40*0.5,0))))</f>
        <v>0</v>
      </c>
      <c r="Q40" s="402">
        <f>E40</f>
        <v>12</v>
      </c>
      <c r="R40" s="81">
        <f>10*E40</f>
        <v>120</v>
      </c>
      <c r="S40" s="403" t="s">
        <v>731</v>
      </c>
      <c r="T40" s="404">
        <f>IF(ARA!J712="describe corrective action needed for any Red Flag or Yellow Flag ranking",0,1)</f>
        <v>1</v>
      </c>
      <c r="AN40" s="81" t="str">
        <f t="shared" si="8"/>
        <v>EMERGENCY OXYGEN</v>
      </c>
      <c r="AO40" s="387">
        <f>$D$40*(Q40-P40)</f>
        <v>120</v>
      </c>
      <c r="AQ40" s="641">
        <v>526</v>
      </c>
      <c r="AR40" t="s">
        <v>2108</v>
      </c>
      <c r="AS40" t="s">
        <v>2109</v>
      </c>
      <c r="AT40" t="s">
        <v>2085</v>
      </c>
      <c r="AU40" s="642">
        <v>5998090</v>
      </c>
    </row>
    <row r="41" spans="1:47" ht="12.9" x14ac:dyDescent="0.35">
      <c r="A41" s="406">
        <f>SUM(P40:P44)</f>
        <v>0</v>
      </c>
      <c r="B41" s="407"/>
      <c r="C41" s="407" t="s">
        <v>723</v>
      </c>
      <c r="D41" s="931"/>
      <c r="E41" s="427">
        <v>12</v>
      </c>
      <c r="F41" s="407"/>
      <c r="G41" s="409">
        <v>0</v>
      </c>
      <c r="H41" s="376">
        <f>IF(G41&gt;0,1,0)</f>
        <v>0</v>
      </c>
      <c r="I41" s="439"/>
      <c r="J41" s="411" t="b">
        <f>IF(G41=1,TRUE,FALSE)</f>
        <v>0</v>
      </c>
      <c r="K41" s="412" t="b">
        <f>IF(G41=2,TRUE,FALSE)</f>
        <v>0</v>
      </c>
      <c r="L41" s="411" t="b">
        <f>IF(G41=3,TRUE,FALSE)</f>
        <v>0</v>
      </c>
      <c r="M41" s="411" t="b">
        <f>IF(G41=4,TRUE,FALSE)</f>
        <v>0</v>
      </c>
      <c r="N41" s="411" t="b">
        <f>IF(G41=5,TRUE,FALSE)</f>
        <v>0</v>
      </c>
      <c r="O41" s="407"/>
      <c r="P41" s="408">
        <f>IF(J41=TRUE,E41,IF(K41=TRUE,E41*0.85,IF(L41=TRUE,E41*0.7,IF(M41=TRUE,E41*0.5,0))))</f>
        <v>0</v>
      </c>
      <c r="Q41" s="413">
        <f>E41</f>
        <v>12</v>
      </c>
      <c r="R41" s="81">
        <f>10*E41</f>
        <v>120</v>
      </c>
      <c r="AN41" s="81" t="str">
        <f t="shared" si="8"/>
        <v>AED</v>
      </c>
      <c r="AO41" s="387">
        <f>$D$40*(Q41-P41)</f>
        <v>120</v>
      </c>
      <c r="AQ41" s="641">
        <v>530</v>
      </c>
      <c r="AR41" t="s">
        <v>2110</v>
      </c>
      <c r="AS41" t="s">
        <v>2111</v>
      </c>
      <c r="AT41" t="s">
        <v>2085</v>
      </c>
      <c r="AU41" s="642">
        <v>2099949</v>
      </c>
    </row>
    <row r="42" spans="1:47" ht="12.9" x14ac:dyDescent="0.35">
      <c r="A42" s="406">
        <f>SUM(Q40:Q44)</f>
        <v>100</v>
      </c>
      <c r="B42" s="407"/>
      <c r="C42" s="440" t="s">
        <v>612</v>
      </c>
      <c r="D42" s="931"/>
      <c r="E42" s="427">
        <v>40</v>
      </c>
      <c r="F42" s="407"/>
      <c r="G42" s="409">
        <v>0</v>
      </c>
      <c r="H42" s="376">
        <f>IF(G42&gt;0,1,0)</f>
        <v>0</v>
      </c>
      <c r="I42" s="439"/>
      <c r="J42" s="411" t="b">
        <f>IF(G42=1,TRUE,FALSE)</f>
        <v>0</v>
      </c>
      <c r="K42" s="412" t="b">
        <f>IF(G42=2,TRUE,FALSE)</f>
        <v>0</v>
      </c>
      <c r="L42" s="411" t="b">
        <f>IF(G42=3,TRUE,FALSE)</f>
        <v>0</v>
      </c>
      <c r="M42" s="411" t="b">
        <f>IF(G42=4,TRUE,FALSE)</f>
        <v>0</v>
      </c>
      <c r="N42" s="411" t="b">
        <f>IF(G42=5,TRUE,FALSE)</f>
        <v>0</v>
      </c>
      <c r="O42" s="407"/>
      <c r="P42" s="408">
        <f>IF(J42=TRUE,E42,IF(K42=TRUE,E42*0.85,IF(L42=TRUE,E42*0.7,IF(M42=TRUE,E42*0.5,0))))</f>
        <v>0</v>
      </c>
      <c r="Q42" s="413">
        <f>E42</f>
        <v>40</v>
      </c>
      <c r="R42" s="81">
        <f>10*E42</f>
        <v>400</v>
      </c>
      <c r="S42" s="403" t="s">
        <v>1833</v>
      </c>
      <c r="AN42" s="81" t="str">
        <f t="shared" si="8"/>
        <v>SAUNAS</v>
      </c>
      <c r="AO42" s="387">
        <f>$D$40*(Q42-P42)</f>
        <v>400</v>
      </c>
      <c r="AQ42" s="641">
        <v>535</v>
      </c>
      <c r="AR42" t="s">
        <v>2112</v>
      </c>
      <c r="AS42" t="s">
        <v>2113</v>
      </c>
      <c r="AT42" t="s">
        <v>2085</v>
      </c>
      <c r="AU42" s="642">
        <v>32231740</v>
      </c>
    </row>
    <row r="43" spans="1:47" ht="12.9" x14ac:dyDescent="0.35">
      <c r="A43" s="414" t="str">
        <f>IF(X8=5,A41/A42,"grade(s) missing")</f>
        <v>grade(s) missing</v>
      </c>
      <c r="B43" s="407"/>
      <c r="C43" s="407" t="s">
        <v>731</v>
      </c>
      <c r="D43" s="931"/>
      <c r="E43" s="427">
        <v>20</v>
      </c>
      <c r="F43" s="407"/>
      <c r="G43" s="409">
        <v>0</v>
      </c>
      <c r="H43" s="376">
        <f>IF(G43&gt;0,1,0)</f>
        <v>0</v>
      </c>
      <c r="I43" s="441"/>
      <c r="J43" s="411" t="b">
        <f>IF(G43=1,TRUE,FALSE)</f>
        <v>0</v>
      </c>
      <c r="K43" s="412" t="b">
        <f>IF(G43=2,TRUE,FALSE)</f>
        <v>0</v>
      </c>
      <c r="L43" s="411" t="b">
        <f>IF(G43=3,TRUE,FALSE)</f>
        <v>0</v>
      </c>
      <c r="M43" s="411" t="b">
        <f>IF(G43=4,TRUE,FALSE)</f>
        <v>0</v>
      </c>
      <c r="N43" s="411" t="b">
        <f>IF(G43=5,TRUE,FALSE)</f>
        <v>0</v>
      </c>
      <c r="O43" s="407"/>
      <c r="P43" s="408">
        <f>IF(J43=TRUE,E43,IF(K43=TRUE,E43*0.85,IF(L43=TRUE,E43*0.7,IF(M43=TRUE,E43*0.5,0))))</f>
        <v>0</v>
      </c>
      <c r="Q43" s="413">
        <f>E43</f>
        <v>20</v>
      </c>
      <c r="R43" s="81">
        <f>10*E43</f>
        <v>200</v>
      </c>
      <c r="S43" s="403" t="s">
        <v>1834</v>
      </c>
      <c r="AN43" s="81" t="str">
        <f t="shared" si="8"/>
        <v>DRUG TESTING</v>
      </c>
      <c r="AO43" s="387">
        <f>$D$40*(Q43-P43)</f>
        <v>200</v>
      </c>
      <c r="AQ43" s="641">
        <v>538</v>
      </c>
      <c r="AR43" t="s">
        <v>2114</v>
      </c>
      <c r="AS43" t="s">
        <v>2115</v>
      </c>
      <c r="AT43" t="s">
        <v>2085</v>
      </c>
      <c r="AU43" s="642">
        <v>20421475</v>
      </c>
    </row>
    <row r="44" spans="1:47" ht="13.3" thickBot="1" x14ac:dyDescent="0.4">
      <c r="A44" s="432" t="str">
        <f>IF(A43="grade(s) missing","",IF(A43&gt;=0.98,"DIAMOND MEDAL",IF(A43&gt;=0.83,"PLATINUM MEDAL",IF(A43&gt;=0.68,"GOLD MEDAL",IF(A43&gt;=0.48,"YELLOW FLAG","RED FLAG")))))</f>
        <v/>
      </c>
      <c r="B44" s="418"/>
      <c r="C44" s="442" t="s">
        <v>1924</v>
      </c>
      <c r="D44" s="932"/>
      <c r="E44" s="419">
        <v>16</v>
      </c>
      <c r="F44" s="418"/>
      <c r="G44" s="419">
        <v>0</v>
      </c>
      <c r="H44" s="421">
        <f>IF(G44&gt;0,1,0)</f>
        <v>0</v>
      </c>
      <c r="I44" s="564"/>
      <c r="J44" s="423" t="b">
        <f>IF(G44=1,TRUE,IF(G44=6,TRUE,FALSE))</f>
        <v>0</v>
      </c>
      <c r="K44" s="423" t="b">
        <f>IF(G44=2,TRUE,IF(G44=7,TRUE,FALSE))</f>
        <v>0</v>
      </c>
      <c r="L44" s="422" t="b">
        <f>IF(G44=3,TRUE,IF(G44=8,TRUE,FALSE))</f>
        <v>0</v>
      </c>
      <c r="M44" s="422" t="b">
        <f>IF(G44=4,TRUE,FALSE)</f>
        <v>0</v>
      </c>
      <c r="N44" s="422" t="b">
        <f>IF(G44=5,TRUE,FALSE)</f>
        <v>0</v>
      </c>
      <c r="O44" s="418"/>
      <c r="P44" s="419">
        <f>IF(J44=TRUE,E44,IF(K44=TRUE,E44*0.85,IF(L44=TRUE,E44*0.7,IF(M44=TRUE,E44*0.5,0))))</f>
        <v>0</v>
      </c>
      <c r="Q44" s="424">
        <f>E44</f>
        <v>16</v>
      </c>
      <c r="R44" s="440">
        <f>10*E44</f>
        <v>160</v>
      </c>
      <c r="S44" s="403" t="s">
        <v>1835</v>
      </c>
      <c r="AN44" s="81" t="str">
        <f t="shared" si="8"/>
        <v>RESIDENCE FACILITIES</v>
      </c>
      <c r="AO44" s="387"/>
      <c r="AQ44" s="641">
        <v>558</v>
      </c>
      <c r="AR44" t="s">
        <v>2116</v>
      </c>
      <c r="AS44" t="s">
        <v>2117</v>
      </c>
      <c r="AT44" t="s">
        <v>2085</v>
      </c>
      <c r="AU44" s="642">
        <v>2351977</v>
      </c>
    </row>
    <row r="45" spans="1:47" ht="13.3" thickTop="1" x14ac:dyDescent="0.35">
      <c r="A45" s="435"/>
      <c r="B45" s="407"/>
      <c r="C45" s="407"/>
      <c r="D45" s="436"/>
      <c r="E45" s="408"/>
      <c r="F45" s="407"/>
      <c r="G45" s="408"/>
      <c r="H45" s="407"/>
      <c r="I45" s="407"/>
      <c r="J45" s="408"/>
      <c r="K45" s="408"/>
      <c r="L45" s="408"/>
      <c r="M45" s="408"/>
      <c r="N45" s="408"/>
      <c r="O45" s="407"/>
      <c r="P45" s="408"/>
      <c r="Q45" s="407"/>
      <c r="R45" s="81">
        <f>SUM(R40:R44)</f>
        <v>1000</v>
      </c>
      <c r="S45" s="403" t="s">
        <v>1836</v>
      </c>
      <c r="AO45" s="387">
        <f>SUM(AO4:AO43)</f>
        <v>9840</v>
      </c>
      <c r="AQ45" s="641">
        <v>560</v>
      </c>
      <c r="AR45" t="s">
        <v>2118</v>
      </c>
      <c r="AS45" t="s">
        <v>2119</v>
      </c>
      <c r="AT45" t="s">
        <v>2085</v>
      </c>
      <c r="AU45" s="642">
        <v>3134778</v>
      </c>
    </row>
    <row r="46" spans="1:47" ht="12.9" x14ac:dyDescent="0.35">
      <c r="C46" s="440"/>
      <c r="R46" s="81">
        <f>R14+R27+R33+R39+R45</f>
        <v>10000</v>
      </c>
      <c r="S46" s="403" t="s">
        <v>1837</v>
      </c>
      <c r="AQ46" s="641">
        <v>562</v>
      </c>
      <c r="AR46" t="s">
        <v>2120</v>
      </c>
      <c r="AS46" t="s">
        <v>2121</v>
      </c>
      <c r="AT46" t="s">
        <v>2085</v>
      </c>
      <c r="AU46" s="642">
        <v>9361171</v>
      </c>
    </row>
    <row r="47" spans="1:47" ht="12.9" x14ac:dyDescent="0.35">
      <c r="A47" s="93"/>
      <c r="C47" s="440"/>
      <c r="S47" s="403" t="s">
        <v>1838</v>
      </c>
      <c r="AQ47" s="641">
        <v>566</v>
      </c>
      <c r="AR47" t="s">
        <v>2122</v>
      </c>
      <c r="AS47" t="s">
        <v>2123</v>
      </c>
      <c r="AT47" t="s">
        <v>2085</v>
      </c>
      <c r="AU47" s="642">
        <v>7880822</v>
      </c>
    </row>
    <row r="48" spans="1:47" ht="12.9" x14ac:dyDescent="0.35">
      <c r="A48" s="386"/>
      <c r="C48" s="440"/>
      <c r="S48" s="403" t="s">
        <v>1839</v>
      </c>
      <c r="AQ48" s="641">
        <v>570</v>
      </c>
      <c r="AR48" t="s">
        <v>2124</v>
      </c>
      <c r="AS48" t="s">
        <v>2125</v>
      </c>
      <c r="AT48" t="s">
        <v>2085</v>
      </c>
      <c r="AU48" s="642">
        <v>1531116</v>
      </c>
    </row>
    <row r="49" spans="1:47" ht="12.9" x14ac:dyDescent="0.35">
      <c r="C49" s="440"/>
      <c r="AQ49" s="641">
        <v>574</v>
      </c>
      <c r="AR49" t="s">
        <v>2126</v>
      </c>
      <c r="AS49" t="s">
        <v>2127</v>
      </c>
      <c r="AT49" t="s">
        <v>2085</v>
      </c>
      <c r="AU49" s="642">
        <v>5759196</v>
      </c>
    </row>
    <row r="50" spans="1:47" ht="13.3" thickBot="1" x14ac:dyDescent="0.4">
      <c r="AQ50" s="641">
        <v>582</v>
      </c>
      <c r="AR50" t="s">
        <v>2128</v>
      </c>
      <c r="AS50" t="s">
        <v>2129</v>
      </c>
      <c r="AT50" t="s">
        <v>2085</v>
      </c>
      <c r="AU50" s="642">
        <v>4772043</v>
      </c>
    </row>
    <row r="51" spans="1:47" ht="13.3" thickTop="1" x14ac:dyDescent="0.35">
      <c r="A51" s="443" t="s">
        <v>565</v>
      </c>
      <c r="AM51" s="81" t="b">
        <v>1</v>
      </c>
      <c r="AQ51" s="641">
        <v>587</v>
      </c>
      <c r="AR51" t="s">
        <v>2130</v>
      </c>
      <c r="AS51" t="s">
        <v>2131</v>
      </c>
      <c r="AT51" t="s">
        <v>2085</v>
      </c>
      <c r="AU51" s="642">
        <v>432250</v>
      </c>
    </row>
    <row r="52" spans="1:47" ht="12.9" x14ac:dyDescent="0.35">
      <c r="A52" s="444">
        <f>A5*0.32+A16*0.32+A29*0.14+A35*0.12+A41*0.1</f>
        <v>0</v>
      </c>
      <c r="C52" s="391" t="s">
        <v>569</v>
      </c>
      <c r="D52" s="81" t="s">
        <v>1912</v>
      </c>
      <c r="AQ52" s="641">
        <v>610</v>
      </c>
      <c r="AR52" t="s">
        <v>2132</v>
      </c>
      <c r="AS52" t="s">
        <v>2133</v>
      </c>
      <c r="AT52" t="s">
        <v>2085</v>
      </c>
      <c r="AU52" s="642">
        <v>120893000</v>
      </c>
    </row>
    <row r="53" spans="1:47" ht="12.9" x14ac:dyDescent="0.35">
      <c r="A53" s="444">
        <f>A6*0.32+A17*0.32+A30*0.14+A36*0.12+A42*0.1</f>
        <v>100</v>
      </c>
      <c r="C53" s="391" t="s">
        <v>570</v>
      </c>
      <c r="D53" s="81" t="s">
        <v>1913</v>
      </c>
      <c r="AQ53" s="641">
        <v>654</v>
      </c>
      <c r="AR53" t="s">
        <v>2134</v>
      </c>
      <c r="AS53" t="s">
        <v>2135</v>
      </c>
      <c r="AT53" t="s">
        <v>2085</v>
      </c>
      <c r="AU53" s="642">
        <v>60972554</v>
      </c>
    </row>
    <row r="54" spans="1:47" ht="12.9" x14ac:dyDescent="0.35">
      <c r="A54" s="445" t="str">
        <f>IF(A19="redundant entries","redundant entries",IF(SUM(H4:H43)=33,A52/A53,IF(B26=TRUE,(A52/A53),"grade(s) missing")))</f>
        <v>grade(s) missing</v>
      </c>
      <c r="C54" s="391" t="s">
        <v>571</v>
      </c>
      <c r="D54" s="81" t="s">
        <v>1914</v>
      </c>
      <c r="AQ54" s="641">
        <v>698</v>
      </c>
      <c r="AR54" t="s">
        <v>2136</v>
      </c>
      <c r="AS54" t="s">
        <v>2137</v>
      </c>
      <c r="AT54" t="s">
        <v>2085</v>
      </c>
      <c r="AU54" s="642">
        <v>3962625</v>
      </c>
    </row>
    <row r="55" spans="1:47" ht="12.9" x14ac:dyDescent="0.35">
      <c r="A55" s="446">
        <f>IF(N6=1,1,IF(N15=1,1,IF(A8="BLACK FLAG",1,IF(A19="BLACK FLAG",1,IF(A32="BLACK FLAG",1,IF(A38="BLACK FLAG",1,0))))))</f>
        <v>0</v>
      </c>
      <c r="C55" s="391" t="s">
        <v>572</v>
      </c>
      <c r="D55" s="81" t="s">
        <v>1915</v>
      </c>
      <c r="AQ55" s="641">
        <v>702</v>
      </c>
      <c r="AR55" t="s">
        <v>2138</v>
      </c>
      <c r="AS55" t="s">
        <v>2139</v>
      </c>
      <c r="AT55" t="s">
        <v>2085</v>
      </c>
      <c r="AU55" s="642">
        <v>40729373</v>
      </c>
    </row>
    <row r="56" spans="1:47" ht="12.9" x14ac:dyDescent="0.35">
      <c r="A56" s="444" t="s">
        <v>1854</v>
      </c>
      <c r="C56" s="391" t="s">
        <v>568</v>
      </c>
      <c r="D56" s="81" t="s">
        <v>1916</v>
      </c>
      <c r="AQ56" s="641">
        <v>726</v>
      </c>
      <c r="AR56" t="s">
        <v>2140</v>
      </c>
      <c r="AS56" t="s">
        <v>2141</v>
      </c>
      <c r="AT56" t="s">
        <v>2085</v>
      </c>
      <c r="AU56" s="642">
        <v>2253449</v>
      </c>
    </row>
    <row r="57" spans="1:47" ht="13.3" thickBot="1" x14ac:dyDescent="0.4">
      <c r="A57" s="447" t="str">
        <f>IF(A54="grade(s) missing","",IF(A54="redundant entries","",IF(A55=1,"BLACK FLAG",IF(A56=2,"RED FLAG",IF(A54&gt;=0.98,"DIAMOND MEDAL",IF(A54&gt;=0.83,"PLATINUM MEDAL",IF(A54&gt;=0.68,"GOLD MEDAL",IF(A54&gt;=0.48,"YELLOW FLAG","RED FLAG"))))))))</f>
        <v/>
      </c>
      <c r="C57" s="391" t="s">
        <v>573</v>
      </c>
      <c r="D57" s="81" t="s">
        <v>575</v>
      </c>
      <c r="AQ57" s="641">
        <v>734</v>
      </c>
      <c r="AR57" t="s">
        <v>2142</v>
      </c>
      <c r="AS57" t="s">
        <v>2143</v>
      </c>
      <c r="AT57" t="s">
        <v>2085</v>
      </c>
      <c r="AU57" s="642">
        <v>1757180</v>
      </c>
    </row>
    <row r="58" spans="1:47" ht="13.3" thickTop="1" x14ac:dyDescent="0.35">
      <c r="A58" s="81" t="b">
        <f>ISNUMBER(A54)</f>
        <v>0</v>
      </c>
      <c r="AM58" s="81" t="b">
        <v>0</v>
      </c>
      <c r="AN58" s="934"/>
      <c r="AO58" s="934"/>
      <c r="AP58" s="934"/>
      <c r="AQ58" s="641">
        <v>738</v>
      </c>
      <c r="AR58" t="s">
        <v>2144</v>
      </c>
      <c r="AS58" t="s">
        <v>2145</v>
      </c>
      <c r="AT58" t="s">
        <v>2085</v>
      </c>
      <c r="AU58" s="642">
        <v>14775928</v>
      </c>
    </row>
    <row r="59" spans="1:47" ht="12.9" x14ac:dyDescent="0.35">
      <c r="AQ59" s="641">
        <v>750</v>
      </c>
      <c r="AR59" t="s">
        <v>2146</v>
      </c>
      <c r="AS59" t="s">
        <v>2147</v>
      </c>
      <c r="AT59" t="s">
        <v>2085</v>
      </c>
      <c r="AU59" s="642">
        <v>2405133</v>
      </c>
    </row>
    <row r="60" spans="1:47" ht="13.3" thickBot="1" x14ac:dyDescent="0.4">
      <c r="AQ60" s="641">
        <v>754</v>
      </c>
      <c r="AR60" t="s">
        <v>2148</v>
      </c>
      <c r="AS60" t="s">
        <v>2149</v>
      </c>
      <c r="AT60" t="s">
        <v>2085</v>
      </c>
      <c r="AU60" s="642">
        <v>4015553</v>
      </c>
    </row>
    <row r="61" spans="1:47" ht="21" thickTop="1" thickBot="1" x14ac:dyDescent="0.55000000000000004">
      <c r="A61" s="918" t="s">
        <v>232</v>
      </c>
      <c r="B61" s="919"/>
      <c r="C61" s="633" t="str">
        <f>START!AO1</f>
        <v>version 7.1.01</v>
      </c>
      <c r="D61" s="921" t="s">
        <v>704</v>
      </c>
      <c r="E61" s="921"/>
      <c r="F61" s="25"/>
      <c r="G61" s="405"/>
      <c r="H61" s="25"/>
      <c r="I61" s="25"/>
      <c r="J61" s="405"/>
      <c r="K61" s="405"/>
      <c r="L61" s="405"/>
      <c r="M61" s="405"/>
      <c r="N61" s="405"/>
      <c r="O61" s="25"/>
      <c r="P61" s="405"/>
      <c r="Q61" s="25"/>
      <c r="R61" s="25"/>
      <c r="S61" s="25"/>
      <c r="T61" s="25">
        <f>R68</f>
        <v>0</v>
      </c>
      <c r="U61" s="25"/>
      <c r="V61" s="25"/>
      <c r="W61" s="25"/>
      <c r="X61" s="25"/>
      <c r="Y61" s="448"/>
      <c r="Z61" s="405"/>
      <c r="AA61" s="405"/>
      <c r="AB61" s="25"/>
      <c r="AC61" s="25"/>
      <c r="AD61" s="25"/>
      <c r="AE61" s="25"/>
      <c r="AF61" s="25"/>
      <c r="AG61" s="25"/>
      <c r="AH61" s="25"/>
      <c r="AI61" s="25"/>
      <c r="AJ61" s="25"/>
      <c r="AK61" s="25"/>
      <c r="AL61" s="25"/>
      <c r="AM61" s="25"/>
      <c r="AN61" s="926" t="s">
        <v>393</v>
      </c>
      <c r="AO61" s="933"/>
      <c r="AP61" s="927"/>
      <c r="AQ61" s="641">
        <v>758</v>
      </c>
      <c r="AR61" t="s">
        <v>2150</v>
      </c>
      <c r="AS61" t="s">
        <v>2151</v>
      </c>
      <c r="AT61" t="s">
        <v>2085</v>
      </c>
      <c r="AU61" s="642">
        <v>6508156</v>
      </c>
    </row>
    <row r="62" spans="1:47" ht="13.3" thickTop="1" x14ac:dyDescent="0.35">
      <c r="A62" s="449" t="s">
        <v>574</v>
      </c>
      <c r="B62" s="449"/>
      <c r="C62" s="449" t="s">
        <v>70</v>
      </c>
      <c r="D62" s="449" t="s">
        <v>574</v>
      </c>
      <c r="E62" s="449" t="s">
        <v>70</v>
      </c>
      <c r="F62" s="449"/>
      <c r="G62" s="449" t="s">
        <v>703</v>
      </c>
      <c r="H62" s="449"/>
      <c r="I62" s="920" t="s">
        <v>577</v>
      </c>
      <c r="J62" s="921"/>
      <c r="K62" s="921"/>
      <c r="L62" s="921"/>
      <c r="M62" s="921"/>
      <c r="N62" s="921"/>
      <c r="O62" s="449"/>
      <c r="P62" s="449" t="s">
        <v>702</v>
      </c>
      <c r="Q62" s="449" t="s">
        <v>567</v>
      </c>
      <c r="R62" s="25"/>
      <c r="S62" s="378"/>
      <c r="T62" s="378"/>
      <c r="U62" s="25"/>
      <c r="V62" s="25"/>
      <c r="W62" s="25"/>
      <c r="X62" s="25"/>
      <c r="Y62" s="448"/>
      <c r="Z62" s="405"/>
      <c r="AA62" s="405"/>
      <c r="AB62" s="25"/>
      <c r="AC62" s="25"/>
      <c r="AD62" s="25"/>
      <c r="AE62" s="25"/>
      <c r="AF62" s="25"/>
      <c r="AG62" s="25"/>
      <c r="AH62" s="25"/>
      <c r="AI62" s="25"/>
      <c r="AJ62" s="25"/>
      <c r="AK62" s="25"/>
      <c r="AL62" s="25"/>
      <c r="AM62" s="25"/>
      <c r="AN62" s="391" t="s">
        <v>391</v>
      </c>
      <c r="AO62" s="391" t="s">
        <v>394</v>
      </c>
      <c r="AP62" s="391"/>
      <c r="AQ62" s="641">
        <v>766</v>
      </c>
      <c r="AR62" t="s">
        <v>2152</v>
      </c>
      <c r="AS62" t="s">
        <v>2153</v>
      </c>
      <c r="AT62" t="s">
        <v>2085</v>
      </c>
      <c r="AU62" s="642">
        <v>7953442</v>
      </c>
    </row>
    <row r="63" spans="1:47" ht="13.3" thickBot="1" x14ac:dyDescent="0.4">
      <c r="A63" s="25"/>
      <c r="B63" s="25"/>
      <c r="C63" s="25"/>
      <c r="D63" s="449" t="s">
        <v>578</v>
      </c>
      <c r="E63" s="449" t="s">
        <v>578</v>
      </c>
      <c r="F63" s="25"/>
      <c r="G63" s="405"/>
      <c r="H63" s="25"/>
      <c r="I63" s="25"/>
      <c r="J63" s="405"/>
      <c r="K63" s="405"/>
      <c r="L63" s="405"/>
      <c r="M63" s="405"/>
      <c r="N63" s="405"/>
      <c r="O63" s="25"/>
      <c r="P63" s="405"/>
      <c r="Q63" s="25"/>
      <c r="R63" s="25"/>
      <c r="S63" s="450" t="s">
        <v>70</v>
      </c>
      <c r="T63" s="451" t="s">
        <v>233</v>
      </c>
      <c r="U63" s="451" t="s">
        <v>234</v>
      </c>
      <c r="V63" s="450" t="s">
        <v>167</v>
      </c>
      <c r="W63" s="450" t="s">
        <v>703</v>
      </c>
      <c r="X63" s="450" t="s">
        <v>235</v>
      </c>
      <c r="Y63" s="450" t="s">
        <v>236</v>
      </c>
      <c r="Z63" s="450" t="s">
        <v>702</v>
      </c>
      <c r="AA63" s="450" t="s">
        <v>1904</v>
      </c>
      <c r="AB63" s="25"/>
      <c r="AC63" s="25"/>
      <c r="AD63" s="25"/>
      <c r="AE63" s="25"/>
      <c r="AF63" s="25"/>
      <c r="AG63" s="25"/>
      <c r="AH63" s="25"/>
      <c r="AI63" s="25"/>
      <c r="AJ63" s="25"/>
      <c r="AK63" s="25"/>
      <c r="AL63" s="25"/>
      <c r="AM63" s="25"/>
      <c r="AN63" s="81">
        <f t="shared" si="8"/>
        <v>0</v>
      </c>
      <c r="AO63" s="81">
        <f>P63</f>
        <v>0</v>
      </c>
      <c r="AQ63" s="641">
        <v>784</v>
      </c>
      <c r="AR63" t="s">
        <v>2154</v>
      </c>
      <c r="AS63" t="s">
        <v>2155</v>
      </c>
      <c r="AT63" t="s">
        <v>2085</v>
      </c>
      <c r="AU63" s="642">
        <v>1343337</v>
      </c>
    </row>
    <row r="64" spans="1:47" ht="13.3" thickTop="1" x14ac:dyDescent="0.35">
      <c r="A64" s="452" t="s">
        <v>237</v>
      </c>
      <c r="B64" s="398"/>
      <c r="C64" s="398" t="s">
        <v>238</v>
      </c>
      <c r="D64" s="922">
        <v>25</v>
      </c>
      <c r="E64" s="453">
        <v>12.5</v>
      </c>
      <c r="F64" s="454"/>
      <c r="G64" s="455">
        <f>IF(Y64=TRUE,1,0)</f>
        <v>0</v>
      </c>
      <c r="H64" s="398">
        <f t="shared" ref="H64:H70" si="20">IF(G64&gt;0,1,0)</f>
        <v>0</v>
      </c>
      <c r="I64" s="456"/>
      <c r="J64" s="457"/>
      <c r="K64" s="457"/>
      <c r="L64" s="457"/>
      <c r="M64" s="457"/>
      <c r="N64" s="457"/>
      <c r="O64" s="398"/>
      <c r="P64" s="453">
        <f>IF(Y64=TRUE,AA64*E64,0)</f>
        <v>0</v>
      </c>
      <c r="Q64" s="458">
        <f t="shared" ref="Q64:Q69" si="21">E64</f>
        <v>12.5</v>
      </c>
      <c r="R64" s="25"/>
      <c r="S64" s="459" t="s">
        <v>238</v>
      </c>
      <c r="T64" s="460"/>
      <c r="U64" s="460"/>
      <c r="V64" s="461"/>
      <c r="W64" s="461"/>
      <c r="X64" s="461"/>
      <c r="Y64" s="462" t="b">
        <f>AND(W65=1,W66=1,W67=1,W68=1,W69=1,W70=1)</f>
        <v>0</v>
      </c>
      <c r="Z64" s="463">
        <f>(COUNTIF(U65:U70,TRUE))</f>
        <v>0</v>
      </c>
      <c r="AA64" s="464" t="str">
        <f>IF(Y64=TRUE,(1-(SUM(X65:X70)/100)),"")</f>
        <v/>
      </c>
      <c r="AB64" s="461" t="str">
        <f>IF(Y68=FALSE,"",IF(AA64&gt;=0.98,"DIAMOND MEDAL",IF(AA64&gt;=0.83,"PLATINUM MEDAL",IF(AA64&gt;=0.68,"GOLD MEDAL",IF(AA64&gt;=0.48,"YELLOW FLAG","RED FLAG")))))</f>
        <v/>
      </c>
      <c r="AC64" s="461"/>
      <c r="AD64" s="461"/>
      <c r="AE64" s="461"/>
      <c r="AF64" s="461"/>
      <c r="AG64" s="461"/>
      <c r="AH64" s="461"/>
      <c r="AI64" s="25"/>
      <c r="AJ64" s="25"/>
      <c r="AK64" s="25"/>
      <c r="AL64" s="25"/>
      <c r="AM64" s="25"/>
      <c r="AN64" s="81" t="str">
        <f t="shared" si="8"/>
        <v>HOUSEKEEPING &amp; PREMISES</v>
      </c>
      <c r="AO64" s="387">
        <f t="shared" ref="AO64:AO70" si="22">$D$64*(Q64-P64)</f>
        <v>312.5</v>
      </c>
      <c r="AQ64" s="641">
        <v>804</v>
      </c>
      <c r="AR64" t="s">
        <v>2156</v>
      </c>
      <c r="AS64" t="s">
        <v>2157</v>
      </c>
      <c r="AT64" t="s">
        <v>2085</v>
      </c>
      <c r="AU64" s="642">
        <v>8086851</v>
      </c>
    </row>
    <row r="65" spans="1:47" ht="12.9" x14ac:dyDescent="0.35">
      <c r="A65" s="465">
        <f>SUM(P64:P70)</f>
        <v>0</v>
      </c>
      <c r="B65" s="376"/>
      <c r="C65" s="376" t="s">
        <v>239</v>
      </c>
      <c r="D65" s="923"/>
      <c r="E65" s="379">
        <v>12.5</v>
      </c>
      <c r="F65" s="376"/>
      <c r="G65" s="466">
        <f>IF(Y71=TRUE,1,0)</f>
        <v>0</v>
      </c>
      <c r="H65" s="376">
        <f t="shared" si="20"/>
        <v>0</v>
      </c>
      <c r="I65" s="467"/>
      <c r="J65" s="468"/>
      <c r="K65" s="468"/>
      <c r="L65" s="468"/>
      <c r="M65" s="468"/>
      <c r="N65" s="468"/>
      <c r="O65" s="376"/>
      <c r="P65" s="379">
        <f>IF(Y71=TRUE,AA71*E65,0)</f>
        <v>0</v>
      </c>
      <c r="Q65" s="469">
        <f t="shared" si="21"/>
        <v>12.5</v>
      </c>
      <c r="R65" s="25">
        <v>0</v>
      </c>
      <c r="S65" s="461" t="s">
        <v>240</v>
      </c>
      <c r="T65" s="462" t="b">
        <f t="shared" ref="T65:T70" si="23">IF(R65=1,TRUE,FALSE)</f>
        <v>0</v>
      </c>
      <c r="U65" s="462" t="b">
        <f t="shared" ref="U65:U70" si="24">IF(R65=2,TRUE,FALSE)</f>
        <v>0</v>
      </c>
      <c r="V65" s="462"/>
      <c r="W65" s="466">
        <f t="shared" ref="W65:W70" si="25">COUNTIF(T65:V65,TRUE)</f>
        <v>0</v>
      </c>
      <c r="X65" s="466">
        <f>IF(U65,19,0)</f>
        <v>0</v>
      </c>
      <c r="Y65" s="462" t="b">
        <f>AND(U65=FALSE,U66=FALSE,U67=FALSE,U68=FALSE,U69=FALSE,U70=FALSE)</f>
        <v>1</v>
      </c>
      <c r="Z65" s="470"/>
      <c r="AA65" s="470"/>
      <c r="AB65" s="470">
        <f>IF(Y67,1,0)</f>
        <v>1</v>
      </c>
      <c r="AC65" s="461"/>
      <c r="AD65" s="461">
        <f t="shared" ref="AD65:AD70" si="26">IF(R65=1,1,IF(R65=2,1,0))</f>
        <v>0</v>
      </c>
      <c r="AE65" s="461"/>
      <c r="AF65" s="461"/>
      <c r="AG65" s="461"/>
      <c r="AH65" s="461"/>
      <c r="AI65" s="25"/>
      <c r="AJ65" s="25"/>
      <c r="AK65" s="25"/>
      <c r="AL65" s="25"/>
      <c r="AM65" s="25"/>
      <c r="AN65" s="81" t="str">
        <f t="shared" si="8"/>
        <v>HAZARDOUS CHEMICALS, ETC.</v>
      </c>
      <c r="AO65" s="387">
        <f t="shared" si="22"/>
        <v>312.5</v>
      </c>
      <c r="AQ65" s="641">
        <v>832</v>
      </c>
      <c r="AR65" t="s">
        <v>2158</v>
      </c>
      <c r="AS65" t="s">
        <v>2159</v>
      </c>
      <c r="AT65" t="s">
        <v>2085</v>
      </c>
      <c r="AU65" s="642">
        <v>1831658</v>
      </c>
    </row>
    <row r="66" spans="1:47" ht="12.9" x14ac:dyDescent="0.35">
      <c r="A66" s="465">
        <f>SUM(Q64:Q70)</f>
        <v>100</v>
      </c>
      <c r="B66" s="376"/>
      <c r="C66" s="376" t="s">
        <v>241</v>
      </c>
      <c r="D66" s="923"/>
      <c r="E66" s="379">
        <v>12.5</v>
      </c>
      <c r="F66" s="376"/>
      <c r="G66" s="466">
        <f>IF(Y79=TRUE,1,0)</f>
        <v>0</v>
      </c>
      <c r="H66" s="376">
        <f t="shared" si="20"/>
        <v>0</v>
      </c>
      <c r="I66" s="467"/>
      <c r="J66" s="468"/>
      <c r="K66" s="468"/>
      <c r="L66" s="468"/>
      <c r="M66" s="468"/>
      <c r="N66" s="468"/>
      <c r="O66" s="376"/>
      <c r="P66" s="379">
        <f>IF(Y79=TRUE,AA79*E66,0)</f>
        <v>0</v>
      </c>
      <c r="Q66" s="469">
        <f t="shared" si="21"/>
        <v>12.5</v>
      </c>
      <c r="R66" s="471">
        <v>0</v>
      </c>
      <c r="S66" s="461" t="s">
        <v>242</v>
      </c>
      <c r="T66" s="462" t="b">
        <f t="shared" si="23"/>
        <v>0</v>
      </c>
      <c r="U66" s="462" t="b">
        <f t="shared" si="24"/>
        <v>0</v>
      </c>
      <c r="V66" s="462"/>
      <c r="W66" s="466">
        <f t="shared" si="25"/>
        <v>0</v>
      </c>
      <c r="X66" s="466">
        <f>IF(U66,19,0)</f>
        <v>0</v>
      </c>
      <c r="Y66" s="462" t="b">
        <f>AND(Y64=TRUE,Y65=TRUE)</f>
        <v>0</v>
      </c>
      <c r="Z66" s="470"/>
      <c r="AA66" s="470"/>
      <c r="AB66" s="461"/>
      <c r="AC66" s="461">
        <v>0</v>
      </c>
      <c r="AD66" s="461">
        <f t="shared" si="26"/>
        <v>0</v>
      </c>
      <c r="AE66" s="461"/>
      <c r="AF66" s="461"/>
      <c r="AG66" s="461"/>
      <c r="AH66" s="461"/>
      <c r="AI66" s="25"/>
      <c r="AJ66" s="25"/>
      <c r="AK66" s="25"/>
      <c r="AL66" s="25"/>
      <c r="AM66" s="25"/>
      <c r="AN66" s="81" t="str">
        <f t="shared" si="8"/>
        <v>VEHICLES, MACHINERY, &amp; EQUIPMENT</v>
      </c>
      <c r="AO66" s="387">
        <f t="shared" si="22"/>
        <v>312.5</v>
      </c>
      <c r="AQ66" s="641">
        <v>836</v>
      </c>
      <c r="AR66" t="s">
        <v>2160</v>
      </c>
      <c r="AS66" t="s">
        <v>2161</v>
      </c>
      <c r="AT66" t="s">
        <v>2085</v>
      </c>
      <c r="AU66" s="642">
        <v>5961641</v>
      </c>
    </row>
    <row r="67" spans="1:47" ht="12.9" x14ac:dyDescent="0.35">
      <c r="A67" s="472" t="str">
        <f>IF(L102=0,A65/A66,"grade(s) missing")</f>
        <v>grade(s) missing</v>
      </c>
      <c r="B67" s="379">
        <f>IF(A67="grade(s) missing",0,1)</f>
        <v>0</v>
      </c>
      <c r="C67" s="376" t="s">
        <v>646</v>
      </c>
      <c r="D67" s="923"/>
      <c r="E67" s="379">
        <v>12.5</v>
      </c>
      <c r="F67" s="376"/>
      <c r="G67" s="466">
        <f>IF(Y87=TRUE,1,0)</f>
        <v>0</v>
      </c>
      <c r="H67" s="376">
        <f t="shared" si="20"/>
        <v>0</v>
      </c>
      <c r="I67" s="467"/>
      <c r="J67" s="925" t="s">
        <v>243</v>
      </c>
      <c r="K67" s="925"/>
      <c r="L67" s="925"/>
      <c r="M67" s="925"/>
      <c r="N67" s="468"/>
      <c r="O67" s="376"/>
      <c r="P67" s="379">
        <f>IF(Y87=TRUE,AA87*E67,0)</f>
        <v>0</v>
      </c>
      <c r="Q67" s="469">
        <f t="shared" si="21"/>
        <v>12.5</v>
      </c>
      <c r="R67" s="25">
        <v>0</v>
      </c>
      <c r="S67" s="461" t="s">
        <v>244</v>
      </c>
      <c r="T67" s="462" t="b">
        <f t="shared" si="23"/>
        <v>0</v>
      </c>
      <c r="U67" s="462" t="b">
        <f t="shared" si="24"/>
        <v>0</v>
      </c>
      <c r="V67" s="462" t="b">
        <f>IF(R67=3,TRUE,FALSE)</f>
        <v>0</v>
      </c>
      <c r="W67" s="466">
        <f t="shared" si="25"/>
        <v>0</v>
      </c>
      <c r="X67" s="466">
        <f>IF(U67,19,0)</f>
        <v>0</v>
      </c>
      <c r="Y67" s="473" t="b">
        <v>1</v>
      </c>
      <c r="Z67" s="470"/>
      <c r="AA67" s="470"/>
      <c r="AB67" s="461"/>
      <c r="AC67" s="461"/>
      <c r="AD67" s="461">
        <f t="shared" si="26"/>
        <v>0</v>
      </c>
      <c r="AE67" s="461"/>
      <c r="AF67" s="461"/>
      <c r="AG67" s="461"/>
      <c r="AH67" s="461"/>
      <c r="AI67" s="25"/>
      <c r="AJ67" s="25"/>
      <c r="AK67" s="25"/>
      <c r="AL67" s="25"/>
      <c r="AM67" s="25"/>
      <c r="AN67" s="81" t="str">
        <f t="shared" si="8"/>
        <v>REPETITIVE MOTION / ERGONOMICS</v>
      </c>
      <c r="AO67" s="387">
        <f t="shared" si="22"/>
        <v>312.5</v>
      </c>
      <c r="AQ67" s="641">
        <v>869</v>
      </c>
      <c r="AR67" t="s">
        <v>2162</v>
      </c>
      <c r="AS67" t="s">
        <v>2163</v>
      </c>
      <c r="AT67" t="s">
        <v>2164</v>
      </c>
      <c r="AU67" s="642">
        <v>8116531</v>
      </c>
    </row>
    <row r="68" spans="1:47" ht="12.9" x14ac:dyDescent="0.35">
      <c r="A68" s="474" t="str">
        <f>IF(A67="grade(s) missing","",IF(A67&gt;=0.98,"DIAMOND MEDAL",IF(A67&gt;=0.83,"PLATINUM MEDAL",IF(A67&gt;=0.68,"GOLD MEDAL",IF(A67&gt;=0.48,"YELLOW FLAG","RED FLAG")))))</f>
        <v/>
      </c>
      <c r="B68" s="376"/>
      <c r="C68" s="376" t="s">
        <v>245</v>
      </c>
      <c r="D68" s="923"/>
      <c r="E68" s="379">
        <v>15</v>
      </c>
      <c r="F68" s="376"/>
      <c r="G68" s="466">
        <f>IF(Y93=TRUE,1,0)</f>
        <v>0</v>
      </c>
      <c r="H68" s="376">
        <f t="shared" si="20"/>
        <v>0</v>
      </c>
      <c r="I68" s="467"/>
      <c r="J68" s="468"/>
      <c r="K68" s="468"/>
      <c r="L68" s="468"/>
      <c r="M68" s="468"/>
      <c r="N68" s="468"/>
      <c r="O68" s="376"/>
      <c r="P68" s="379">
        <f>IF(Y93=TRUE,AA93*E68,0)</f>
        <v>0</v>
      </c>
      <c r="Q68" s="469">
        <f t="shared" si="21"/>
        <v>15</v>
      </c>
      <c r="R68" s="25">
        <v>0</v>
      </c>
      <c r="S68" s="461" t="s">
        <v>246</v>
      </c>
      <c r="T68" s="462" t="b">
        <f t="shared" si="23"/>
        <v>0</v>
      </c>
      <c r="U68" s="462" t="b">
        <f t="shared" si="24"/>
        <v>0</v>
      </c>
      <c r="V68" s="462" t="b">
        <f>IF(R68=3,TRUE,FALSE)</f>
        <v>0</v>
      </c>
      <c r="W68" s="466">
        <f>COUNTIF(T68:V68,TRUE)</f>
        <v>0</v>
      </c>
      <c r="X68" s="466">
        <f>IF(U68,13.5,0)</f>
        <v>0</v>
      </c>
      <c r="Y68" s="475" t="b">
        <f>AND(Y64=TRUE,Y67=TRUE)</f>
        <v>0</v>
      </c>
      <c r="Z68" s="470"/>
      <c r="AA68" s="470"/>
      <c r="AB68" s="461"/>
      <c r="AC68" s="461"/>
      <c r="AD68" s="461">
        <f t="shared" si="26"/>
        <v>0</v>
      </c>
      <c r="AE68" s="461"/>
      <c r="AF68" s="461"/>
      <c r="AG68" s="461"/>
      <c r="AH68" s="461"/>
      <c r="AI68" s="25"/>
      <c r="AJ68" s="25"/>
      <c r="AK68" s="25"/>
      <c r="AL68" s="25"/>
      <c r="AM68" s="25"/>
      <c r="AN68" s="81" t="str">
        <f t="shared" si="8"/>
        <v>NON-EMPLOYEES</v>
      </c>
      <c r="AO68" s="387">
        <f t="shared" si="22"/>
        <v>375</v>
      </c>
      <c r="AQ68" s="641">
        <v>871</v>
      </c>
      <c r="AR68" t="s">
        <v>2165</v>
      </c>
      <c r="AS68" t="s">
        <v>2166</v>
      </c>
      <c r="AT68" t="s">
        <v>2164</v>
      </c>
      <c r="AU68" s="642">
        <v>2345713</v>
      </c>
    </row>
    <row r="69" spans="1:47" ht="12.9" x14ac:dyDescent="0.35">
      <c r="A69" s="474"/>
      <c r="B69" s="376"/>
      <c r="C69" s="376" t="s">
        <v>247</v>
      </c>
      <c r="D69" s="923"/>
      <c r="E69" s="379">
        <v>15</v>
      </c>
      <c r="F69" s="376"/>
      <c r="G69" s="466">
        <f>IF(Y106=TRUE,1,0)</f>
        <v>0</v>
      </c>
      <c r="H69" s="376">
        <f t="shared" si="20"/>
        <v>0</v>
      </c>
      <c r="I69" s="467"/>
      <c r="J69" s="468"/>
      <c r="K69" s="468"/>
      <c r="L69" s="468"/>
      <c r="M69" s="468"/>
      <c r="N69" s="468"/>
      <c r="O69" s="376"/>
      <c r="P69" s="379">
        <f>IF(Y106=TRUE,AA106*E69,0)</f>
        <v>0</v>
      </c>
      <c r="Q69" s="469">
        <f t="shared" si="21"/>
        <v>15</v>
      </c>
      <c r="R69" s="25">
        <v>0</v>
      </c>
      <c r="S69" s="461" t="s">
        <v>248</v>
      </c>
      <c r="T69" s="462" t="b">
        <f t="shared" si="23"/>
        <v>0</v>
      </c>
      <c r="U69" s="462" t="b">
        <f t="shared" si="24"/>
        <v>0</v>
      </c>
      <c r="V69" s="462" t="b">
        <f>IF(R69=3,TRUE,FALSE)</f>
        <v>0</v>
      </c>
      <c r="W69" s="466">
        <f>COUNTIF(T69:V69,TRUE)</f>
        <v>0</v>
      </c>
      <c r="X69" s="466">
        <f>IF(U69,13.5,0)</f>
        <v>0</v>
      </c>
      <c r="Y69" s="473"/>
      <c r="Z69" s="470"/>
      <c r="AA69" s="470"/>
      <c r="AB69" s="461"/>
      <c r="AC69" s="461"/>
      <c r="AD69" s="461">
        <f t="shared" si="26"/>
        <v>0</v>
      </c>
      <c r="AE69" s="461"/>
      <c r="AF69" s="461"/>
      <c r="AG69" s="461"/>
      <c r="AH69" s="461"/>
      <c r="AI69" s="25"/>
      <c r="AJ69" s="25"/>
      <c r="AK69" s="25"/>
      <c r="AL69" s="25"/>
      <c r="AM69" s="25"/>
      <c r="AN69" s="81" t="str">
        <f t="shared" ref="AN69:AN91" si="27">C69</f>
        <v>CAMP OPERATIONS &amp; SIMILAR EXP.</v>
      </c>
      <c r="AO69" s="387">
        <f t="shared" si="22"/>
        <v>375</v>
      </c>
      <c r="AQ69" s="641">
        <v>873</v>
      </c>
      <c r="AR69" t="s">
        <v>2167</v>
      </c>
      <c r="AS69" t="s">
        <v>2168</v>
      </c>
      <c r="AT69" t="s">
        <v>2164</v>
      </c>
      <c r="AU69" s="642">
        <v>18009669</v>
      </c>
    </row>
    <row r="70" spans="1:47" ht="13.3" thickBot="1" x14ac:dyDescent="0.4">
      <c r="A70" s="465"/>
      <c r="B70" s="376"/>
      <c r="C70" s="421" t="s">
        <v>249</v>
      </c>
      <c r="D70" s="924"/>
      <c r="E70" s="476">
        <v>20</v>
      </c>
      <c r="F70" s="421"/>
      <c r="G70" s="477">
        <f>IF(Y119=TRUE,1,0)</f>
        <v>0</v>
      </c>
      <c r="H70" s="421">
        <f t="shared" si="20"/>
        <v>0</v>
      </c>
      <c r="I70" s="478"/>
      <c r="J70" s="479"/>
      <c r="K70" s="479"/>
      <c r="L70" s="479"/>
      <c r="M70" s="479"/>
      <c r="N70" s="479"/>
      <c r="O70" s="421"/>
      <c r="P70" s="476">
        <f>IF(Y119=TRUE,AA119*E70,0)</f>
        <v>0</v>
      </c>
      <c r="Q70" s="480">
        <f>IF(I70=TRUE,0,E70)</f>
        <v>20</v>
      </c>
      <c r="R70" s="25">
        <v>0</v>
      </c>
      <c r="S70" s="461" t="s">
        <v>250</v>
      </c>
      <c r="T70" s="462" t="b">
        <f t="shared" si="23"/>
        <v>0</v>
      </c>
      <c r="U70" s="462" t="b">
        <f t="shared" si="24"/>
        <v>0</v>
      </c>
      <c r="V70" s="462" t="b">
        <f>IF(R70=3,TRUE,FALSE)</f>
        <v>0</v>
      </c>
      <c r="W70" s="466">
        <f t="shared" si="25"/>
        <v>0</v>
      </c>
      <c r="X70" s="466">
        <f>IF(U70,16,0)</f>
        <v>0</v>
      </c>
      <c r="Y70" s="473"/>
      <c r="Z70" s="470"/>
      <c r="AA70" s="470"/>
      <c r="AB70" s="461"/>
      <c r="AC70" s="461"/>
      <c r="AD70" s="461">
        <f t="shared" si="26"/>
        <v>0</v>
      </c>
      <c r="AE70" s="461"/>
      <c r="AF70" s="461"/>
      <c r="AG70" s="461"/>
      <c r="AH70" s="461"/>
      <c r="AI70" s="25"/>
      <c r="AJ70" s="25"/>
      <c r="AK70" s="25"/>
      <c r="AL70" s="25"/>
      <c r="AM70" s="25"/>
      <c r="AN70" s="81" t="str">
        <f t="shared" si="27"/>
        <v>OTHER EXPOSURES</v>
      </c>
      <c r="AO70" s="387">
        <f t="shared" si="22"/>
        <v>500</v>
      </c>
      <c r="AQ70" s="641">
        <v>877</v>
      </c>
      <c r="AR70" t="s">
        <v>2169</v>
      </c>
      <c r="AS70" t="s">
        <v>2170</v>
      </c>
      <c r="AT70" t="s">
        <v>2164</v>
      </c>
      <c r="AU70" s="642">
        <v>17926896</v>
      </c>
    </row>
    <row r="71" spans="1:47" ht="13.3" thickTop="1" x14ac:dyDescent="0.35">
      <c r="A71" s="453"/>
      <c r="B71" s="398"/>
      <c r="C71" s="25"/>
      <c r="D71" s="25"/>
      <c r="E71" s="405"/>
      <c r="F71" s="25"/>
      <c r="G71" s="405"/>
      <c r="H71" s="25"/>
      <c r="I71" s="25"/>
      <c r="J71" s="405"/>
      <c r="K71" s="405"/>
      <c r="L71" s="405"/>
      <c r="M71" s="405"/>
      <c r="N71" s="405"/>
      <c r="O71" s="25"/>
      <c r="P71" s="405"/>
      <c r="Q71" s="25"/>
      <c r="R71" s="25"/>
      <c r="S71" s="481" t="s">
        <v>251</v>
      </c>
      <c r="T71" s="481"/>
      <c r="U71" s="482"/>
      <c r="V71" s="481"/>
      <c r="W71" s="481"/>
      <c r="X71" s="481"/>
      <c r="Y71" s="483" t="b">
        <f>AND(W72=1,W73=1,W74=1,W75=1,W76=1,W77=1,W78=1)</f>
        <v>0</v>
      </c>
      <c r="Z71" s="484">
        <f>(COUNTIF(U72:U78,TRUE))</f>
        <v>0</v>
      </c>
      <c r="AA71" s="485" t="str">
        <f>IF(Y71=TRUE,(1-(SUM(X72:X78)/100)),"")</f>
        <v/>
      </c>
      <c r="AB71" s="481" t="str">
        <f>IF(Y76=FALSE,"",IF(AE78&gt;0,"",IF(AA71&gt;=0.98,"DIAMOND MEDAL",IF(AA71&gt;=0.83,"PLATINUM MEDAL",IF(AA71&gt;=0.68,"GOLD MEDAL",IF(AA71&gt;=0.48,"YELLOW FLAG","RED FLAG"))))))</f>
        <v/>
      </c>
      <c r="AC71" s="481"/>
      <c r="AD71" s="481"/>
      <c r="AE71" s="481"/>
      <c r="AF71" s="481"/>
      <c r="AG71" s="481"/>
      <c r="AH71" s="481"/>
      <c r="AI71" s="25"/>
      <c r="AJ71" s="25"/>
      <c r="AK71" s="25"/>
      <c r="AL71" s="25"/>
      <c r="AM71" s="25"/>
      <c r="AO71" s="387"/>
      <c r="AQ71" s="641">
        <v>908</v>
      </c>
      <c r="AR71" t="s">
        <v>2171</v>
      </c>
      <c r="AS71" t="s">
        <v>2172</v>
      </c>
      <c r="AT71" t="s">
        <v>2164</v>
      </c>
      <c r="AU71" s="642">
        <v>29844756</v>
      </c>
    </row>
    <row r="72" spans="1:47" ht="13.3" thickBot="1" x14ac:dyDescent="0.4">
      <c r="A72" s="25"/>
      <c r="B72" s="25"/>
      <c r="C72" s="25"/>
      <c r="D72" s="25"/>
      <c r="E72" s="405"/>
      <c r="F72" s="25"/>
      <c r="G72" s="405"/>
      <c r="H72" s="25"/>
      <c r="I72" s="425" t="s">
        <v>167</v>
      </c>
      <c r="J72" s="425" t="s">
        <v>172</v>
      </c>
      <c r="K72" s="425" t="s">
        <v>168</v>
      </c>
      <c r="L72" s="425" t="s">
        <v>169</v>
      </c>
      <c r="M72" s="425" t="s">
        <v>170</v>
      </c>
      <c r="N72" s="425" t="s">
        <v>171</v>
      </c>
      <c r="O72" s="25"/>
      <c r="P72" s="405"/>
      <c r="Q72" s="376"/>
      <c r="R72" s="25">
        <v>0</v>
      </c>
      <c r="S72" s="461" t="s">
        <v>252</v>
      </c>
      <c r="T72" s="462" t="b">
        <f>IF(R72=1,TRUE,FALSE)</f>
        <v>0</v>
      </c>
      <c r="U72" s="462" t="b">
        <f>IF(R72=2,TRUE,FALSE)</f>
        <v>0</v>
      </c>
      <c r="V72" s="462" t="b">
        <f>IF(R72=3,TRUE,FALSE)</f>
        <v>0</v>
      </c>
      <c r="W72" s="466">
        <f t="shared" ref="W72:W78" si="28">COUNTIF(T72:V72,TRUE)</f>
        <v>0</v>
      </c>
      <c r="X72" s="466">
        <f>IF(U72,17,0)</f>
        <v>0</v>
      </c>
      <c r="Y72" s="473" t="str">
        <f>IF(Y71=TRUE,1,"")</f>
        <v/>
      </c>
      <c r="Z72" s="470"/>
      <c r="AA72" s="470"/>
      <c r="AB72" s="470">
        <f>IF(Y75,1,0)</f>
        <v>1</v>
      </c>
      <c r="AC72" s="461"/>
      <c r="AD72" s="461">
        <f t="shared" ref="AD72:AD78" si="29">IF(R72=1,1,IF(R72=2,1,0))</f>
        <v>0</v>
      </c>
      <c r="AE72" s="461"/>
      <c r="AF72" s="461"/>
      <c r="AG72" s="461"/>
      <c r="AH72" s="461"/>
      <c r="AI72" s="25"/>
      <c r="AJ72" s="25"/>
      <c r="AK72" s="25"/>
      <c r="AL72" s="25"/>
      <c r="AM72" s="25"/>
      <c r="AO72" s="387"/>
      <c r="AQ72" s="641">
        <v>913</v>
      </c>
      <c r="AR72" t="s">
        <v>2173</v>
      </c>
      <c r="AS72" t="s">
        <v>2174</v>
      </c>
      <c r="AT72" t="s">
        <v>2164</v>
      </c>
      <c r="AU72" s="642">
        <v>2084837</v>
      </c>
    </row>
    <row r="73" spans="1:47" ht="13.3" thickTop="1" x14ac:dyDescent="0.35">
      <c r="A73" s="452" t="s">
        <v>253</v>
      </c>
      <c r="B73" s="398"/>
      <c r="C73" s="398" t="s">
        <v>69</v>
      </c>
      <c r="D73" s="922">
        <v>40</v>
      </c>
      <c r="E73" s="486">
        <v>20</v>
      </c>
      <c r="F73" s="398"/>
      <c r="G73" s="455">
        <v>0</v>
      </c>
      <c r="H73" s="398">
        <f t="shared" ref="H73:H78" si="30">IF(G73&gt;0,1,0)</f>
        <v>0</v>
      </c>
      <c r="I73" s="487"/>
      <c r="J73" s="400" t="b">
        <f t="shared" ref="J73:J78" si="31">IF(G73=1,TRUE,FALSE)</f>
        <v>0</v>
      </c>
      <c r="K73" s="401" t="b">
        <f t="shared" ref="K73:K78" si="32">IF(G73=2,TRUE,FALSE)</f>
        <v>0</v>
      </c>
      <c r="L73" s="400" t="b">
        <f t="shared" ref="L73:L78" si="33">IF(G73=3,TRUE,FALSE)</f>
        <v>0</v>
      </c>
      <c r="M73" s="400" t="b">
        <f t="shared" ref="M73:M78" si="34">IF(G73=4,TRUE,FALSE)</f>
        <v>0</v>
      </c>
      <c r="N73" s="400" t="b">
        <f t="shared" ref="N73:N78" si="35">IF(G73=5,TRUE,FALSE)</f>
        <v>0</v>
      </c>
      <c r="O73" s="398"/>
      <c r="P73" s="453">
        <f t="shared" ref="P73:P78" si="36">IF(J73=TRUE,E73,IF(K73=TRUE,E73*0.85,IF(L73=TRUE,E73*0.7,IF(M73=TRUE,E73*0.5,0))))</f>
        <v>0</v>
      </c>
      <c r="Q73" s="458">
        <f>IF(I73=TRUE,0,E73)</f>
        <v>20</v>
      </c>
      <c r="R73" s="25">
        <v>0</v>
      </c>
      <c r="S73" s="461" t="s">
        <v>254</v>
      </c>
      <c r="T73" s="462" t="b">
        <f t="shared" ref="T73:T78" si="37">IF(R73=1,TRUE,FALSE)</f>
        <v>0</v>
      </c>
      <c r="U73" s="462" t="b">
        <f t="shared" ref="U73:U78" si="38">IF(R73=2,TRUE,FALSE)</f>
        <v>0</v>
      </c>
      <c r="V73" s="462" t="b">
        <f t="shared" ref="V73:V78" si="39">IF(R73=3,TRUE,FALSE)</f>
        <v>0</v>
      </c>
      <c r="W73" s="466">
        <f t="shared" si="28"/>
        <v>0</v>
      </c>
      <c r="X73" s="466">
        <f>IF(U73,19,0)</f>
        <v>0</v>
      </c>
      <c r="Y73" s="462" t="b">
        <f>AND(U72=FALSE,U73=FALSE,U74=FALSE,U75=FALSE,U76=FALSE,U77=FALSE,U78=FALSE)</f>
        <v>1</v>
      </c>
      <c r="Z73" s="470"/>
      <c r="AA73" s="470"/>
      <c r="AB73" s="461"/>
      <c r="AC73" s="461"/>
      <c r="AD73" s="461">
        <f t="shared" si="29"/>
        <v>0</v>
      </c>
      <c r="AE73" s="461"/>
      <c r="AF73" s="461"/>
      <c r="AG73" s="461"/>
      <c r="AH73" s="461"/>
      <c r="AI73" s="25"/>
      <c r="AJ73" s="25"/>
      <c r="AK73" s="25"/>
      <c r="AL73" s="25"/>
      <c r="AM73" s="25" t="b">
        <v>0</v>
      </c>
      <c r="AN73" s="81" t="str">
        <f t="shared" si="27"/>
        <v>APPLICATIONS</v>
      </c>
      <c r="AO73" s="387">
        <f t="shared" ref="AO73:AO78" si="40">$D$73*(Q73-P73)</f>
        <v>800</v>
      </c>
      <c r="AQ73" s="641">
        <v>923</v>
      </c>
      <c r="AR73" t="s">
        <v>2175</v>
      </c>
      <c r="AS73" t="s">
        <v>2176</v>
      </c>
      <c r="AT73" t="s">
        <v>2177</v>
      </c>
      <c r="AU73" s="642">
        <v>23546111</v>
      </c>
    </row>
    <row r="74" spans="1:47" ht="12.9" x14ac:dyDescent="0.35">
      <c r="A74" s="465">
        <f>IF(START!A9=2,P73+P74+P77,SUM(P73:P78))</f>
        <v>0</v>
      </c>
      <c r="B74" s="376"/>
      <c r="C74" s="376" t="s">
        <v>707</v>
      </c>
      <c r="D74" s="923"/>
      <c r="E74" s="488">
        <v>20</v>
      </c>
      <c r="F74" s="376"/>
      <c r="G74" s="466">
        <v>0</v>
      </c>
      <c r="H74" s="376">
        <f t="shared" si="30"/>
        <v>0</v>
      </c>
      <c r="I74" s="489"/>
      <c r="J74" s="411" t="b">
        <f t="shared" si="31"/>
        <v>0</v>
      </c>
      <c r="K74" s="412" t="b">
        <f t="shared" si="32"/>
        <v>0</v>
      </c>
      <c r="L74" s="411" t="b">
        <f t="shared" si="33"/>
        <v>0</v>
      </c>
      <c r="M74" s="411" t="b">
        <f t="shared" si="34"/>
        <v>0</v>
      </c>
      <c r="N74" s="411" t="b">
        <f t="shared" si="35"/>
        <v>0</v>
      </c>
      <c r="O74" s="376"/>
      <c r="P74" s="379">
        <f t="shared" si="36"/>
        <v>0</v>
      </c>
      <c r="Q74" s="469">
        <f>IF(I74=TRUE,0,E74)</f>
        <v>20</v>
      </c>
      <c r="R74" s="25">
        <v>0</v>
      </c>
      <c r="S74" s="461" t="s">
        <v>255</v>
      </c>
      <c r="T74" s="462" t="b">
        <f t="shared" si="37"/>
        <v>0</v>
      </c>
      <c r="U74" s="462" t="b">
        <f t="shared" si="38"/>
        <v>0</v>
      </c>
      <c r="V74" s="462" t="b">
        <f t="shared" si="39"/>
        <v>0</v>
      </c>
      <c r="W74" s="466">
        <f t="shared" si="28"/>
        <v>0</v>
      </c>
      <c r="X74" s="466">
        <f>IF(U74,19,0)</f>
        <v>0</v>
      </c>
      <c r="Y74" s="462" t="b">
        <f>AND(Y71=TRUE,Y73=TRUE)</f>
        <v>0</v>
      </c>
      <c r="Z74" s="470"/>
      <c r="AA74" s="470"/>
      <c r="AB74" s="461"/>
      <c r="AC74" s="461"/>
      <c r="AD74" s="461">
        <f t="shared" si="29"/>
        <v>0</v>
      </c>
      <c r="AE74" s="461"/>
      <c r="AF74" s="461"/>
      <c r="AG74" s="461"/>
      <c r="AH74" s="461"/>
      <c r="AI74" s="25"/>
      <c r="AJ74" s="25"/>
      <c r="AK74" s="25"/>
      <c r="AL74" s="25"/>
      <c r="AM74" s="25"/>
      <c r="AN74" s="81" t="str">
        <f t="shared" si="27"/>
        <v>CBCs</v>
      </c>
      <c r="AO74" s="387">
        <f t="shared" si="40"/>
        <v>800</v>
      </c>
      <c r="AQ74" s="641">
        <v>930</v>
      </c>
      <c r="AR74" t="s">
        <v>2178</v>
      </c>
      <c r="AS74" t="s">
        <v>2179</v>
      </c>
      <c r="AT74" t="s">
        <v>2180</v>
      </c>
      <c r="AU74" s="642">
        <v>2039470</v>
      </c>
    </row>
    <row r="75" spans="1:47" ht="12.9" x14ac:dyDescent="0.35">
      <c r="A75" s="465">
        <f>IF(START!A9=2,Q73+Q74+Q77,SUM(Q73:Q78))</f>
        <v>100</v>
      </c>
      <c r="B75" s="376"/>
      <c r="C75" s="376" t="s">
        <v>492</v>
      </c>
      <c r="D75" s="923"/>
      <c r="E75" s="488">
        <v>20</v>
      </c>
      <c r="F75" s="376"/>
      <c r="G75" s="466">
        <v>0</v>
      </c>
      <c r="H75" s="376">
        <f t="shared" si="30"/>
        <v>0</v>
      </c>
      <c r="I75" s="489"/>
      <c r="J75" s="411" t="b">
        <f t="shared" si="31"/>
        <v>0</v>
      </c>
      <c r="K75" s="412" t="b">
        <f t="shared" si="32"/>
        <v>0</v>
      </c>
      <c r="L75" s="411" t="b">
        <f t="shared" si="33"/>
        <v>0</v>
      </c>
      <c r="M75" s="411" t="b">
        <f t="shared" si="34"/>
        <v>0</v>
      </c>
      <c r="N75" s="411" t="b">
        <f t="shared" si="35"/>
        <v>0</v>
      </c>
      <c r="O75" s="376"/>
      <c r="P75" s="379">
        <f t="shared" si="36"/>
        <v>0</v>
      </c>
      <c r="Q75" s="469">
        <f>IF(I75=TRUE,0,E75)</f>
        <v>20</v>
      </c>
      <c r="R75" s="25">
        <v>0</v>
      </c>
      <c r="S75" s="461" t="s">
        <v>493</v>
      </c>
      <c r="T75" s="462" t="b">
        <f t="shared" si="37"/>
        <v>0</v>
      </c>
      <c r="U75" s="462" t="b">
        <f t="shared" si="38"/>
        <v>0</v>
      </c>
      <c r="V75" s="462" t="b">
        <f t="shared" si="39"/>
        <v>0</v>
      </c>
      <c r="W75" s="466">
        <f t="shared" si="28"/>
        <v>0</v>
      </c>
      <c r="X75" s="466">
        <f>IF(U75,13,0)</f>
        <v>0</v>
      </c>
      <c r="Y75" s="473" t="b">
        <f>IF(AC75&gt;0,FALSE,TRUE)</f>
        <v>1</v>
      </c>
      <c r="Z75" s="470">
        <f>IF(T75,1,0)</f>
        <v>0</v>
      </c>
      <c r="AA75" s="470">
        <f>IF(U75,1,0)</f>
        <v>0</v>
      </c>
      <c r="AB75" s="461">
        <f>IF(WC!H96="",0,IF(WC!I96="Describe exposure and controls beyond pool chemicals or state only pool chemicals; note whether chlorine is gas, liquid, tablet, or granular.",1,0))</f>
        <v>0</v>
      </c>
      <c r="AC75" s="461">
        <f>SUM(AB75:AB78)</f>
        <v>0</v>
      </c>
      <c r="AD75" s="461">
        <f t="shared" si="29"/>
        <v>0</v>
      </c>
      <c r="AE75" s="461"/>
      <c r="AF75" s="461"/>
      <c r="AG75" s="461"/>
      <c r="AH75" s="461"/>
      <c r="AI75" s="25"/>
      <c r="AJ75" s="25"/>
      <c r="AK75" s="25"/>
      <c r="AL75" s="25"/>
      <c r="AM75" s="25"/>
      <c r="AN75" s="81" t="str">
        <f t="shared" si="27"/>
        <v>RTW &amp; LIGHT DUTY</v>
      </c>
      <c r="AO75" s="387">
        <f t="shared" si="40"/>
        <v>800</v>
      </c>
      <c r="AQ75" s="641">
        <v>951</v>
      </c>
      <c r="AR75" t="s">
        <v>2181</v>
      </c>
      <c r="AS75" t="s">
        <v>2182</v>
      </c>
      <c r="AT75" t="s">
        <v>2177</v>
      </c>
      <c r="AU75" s="642">
        <v>4666788</v>
      </c>
    </row>
    <row r="76" spans="1:47" ht="12.9" x14ac:dyDescent="0.35">
      <c r="A76" s="472" t="str">
        <f>IF(L103=6,A74/A75,"grade(s) missing")</f>
        <v>grade(s) missing</v>
      </c>
      <c r="B76" s="379">
        <f>IF(A76="grade(s) missing",0,1)</f>
        <v>0</v>
      </c>
      <c r="C76" s="376" t="s">
        <v>494</v>
      </c>
      <c r="D76" s="923"/>
      <c r="E76" s="488">
        <v>10</v>
      </c>
      <c r="F76" s="376"/>
      <c r="G76" s="466">
        <v>0</v>
      </c>
      <c r="H76" s="376">
        <f t="shared" si="30"/>
        <v>0</v>
      </c>
      <c r="I76" s="489"/>
      <c r="J76" s="411" t="b">
        <f t="shared" si="31"/>
        <v>0</v>
      </c>
      <c r="K76" s="412" t="b">
        <f t="shared" si="32"/>
        <v>0</v>
      </c>
      <c r="L76" s="411" t="b">
        <f t="shared" si="33"/>
        <v>0</v>
      </c>
      <c r="M76" s="411" t="b">
        <f t="shared" si="34"/>
        <v>0</v>
      </c>
      <c r="N76" s="411" t="b">
        <f t="shared" si="35"/>
        <v>0</v>
      </c>
      <c r="O76" s="376"/>
      <c r="P76" s="379">
        <f t="shared" si="36"/>
        <v>0</v>
      </c>
      <c r="Q76" s="469">
        <f>E76</f>
        <v>10</v>
      </c>
      <c r="R76" s="25">
        <v>0</v>
      </c>
      <c r="S76" s="461" t="s">
        <v>495</v>
      </c>
      <c r="T76" s="462" t="b">
        <f t="shared" si="37"/>
        <v>0</v>
      </c>
      <c r="U76" s="462" t="b">
        <f t="shared" si="38"/>
        <v>0</v>
      </c>
      <c r="V76" s="462" t="b">
        <f t="shared" si="39"/>
        <v>0</v>
      </c>
      <c r="W76" s="466">
        <f t="shared" si="28"/>
        <v>0</v>
      </c>
      <c r="X76" s="466">
        <f>IF(U76,12,0)</f>
        <v>0</v>
      </c>
      <c r="Y76" s="475" t="b">
        <f>AND(Y71=TRUE,Y75=TRUE)</f>
        <v>0</v>
      </c>
      <c r="Z76" s="470"/>
      <c r="AA76" s="470"/>
      <c r="AB76" s="461"/>
      <c r="AC76" s="461"/>
      <c r="AD76" s="461">
        <f t="shared" si="29"/>
        <v>0</v>
      </c>
      <c r="AE76" s="461"/>
      <c r="AF76" s="461"/>
      <c r="AG76" s="461"/>
      <c r="AH76" s="461"/>
      <c r="AI76" s="25"/>
      <c r="AJ76" s="25"/>
      <c r="AK76" s="25"/>
      <c r="AL76" s="25"/>
      <c r="AM76" s="25"/>
      <c r="AN76" s="81" t="str">
        <f t="shared" si="27"/>
        <v>DRUG-FREE WORKPLACE</v>
      </c>
      <c r="AO76" s="387">
        <f t="shared" si="40"/>
        <v>400</v>
      </c>
      <c r="AQ76" s="641">
        <v>953</v>
      </c>
      <c r="AR76" t="s">
        <v>2183</v>
      </c>
      <c r="AS76" t="s">
        <v>2184</v>
      </c>
      <c r="AT76" t="s">
        <v>2177</v>
      </c>
      <c r="AU76" s="642">
        <v>2197723</v>
      </c>
    </row>
    <row r="77" spans="1:47" ht="12.9" x14ac:dyDescent="0.35">
      <c r="A77" s="474" t="str">
        <f>IF(A76="grade(s) missing","",IF(A76&gt;=0.98,"DIAMOND MEDAL",IF(A76&gt;=0.83,"PLATINUM MEDAL",IF(A76&gt;=0.68,"GOLD MEDAL",IF(A76&gt;=0.48,"YELLOW FLAG","RED FLAG")))))</f>
        <v/>
      </c>
      <c r="B77" s="376"/>
      <c r="C77" s="376" t="s">
        <v>34</v>
      </c>
      <c r="D77" s="923"/>
      <c r="E77" s="488">
        <v>20</v>
      </c>
      <c r="F77" s="376"/>
      <c r="G77" s="466">
        <v>0</v>
      </c>
      <c r="H77" s="376">
        <f t="shared" si="30"/>
        <v>0</v>
      </c>
      <c r="I77" s="489"/>
      <c r="J77" s="411" t="b">
        <f t="shared" si="31"/>
        <v>0</v>
      </c>
      <c r="K77" s="412" t="b">
        <f t="shared" si="32"/>
        <v>0</v>
      </c>
      <c r="L77" s="411" t="b">
        <f t="shared" si="33"/>
        <v>0</v>
      </c>
      <c r="M77" s="411" t="b">
        <f t="shared" si="34"/>
        <v>0</v>
      </c>
      <c r="N77" s="411" t="b">
        <f t="shared" si="35"/>
        <v>0</v>
      </c>
      <c r="O77" s="376"/>
      <c r="P77" s="379">
        <f t="shared" si="36"/>
        <v>0</v>
      </c>
      <c r="Q77" s="469">
        <f>E77</f>
        <v>20</v>
      </c>
      <c r="R77" s="25">
        <v>0</v>
      </c>
      <c r="S77" s="461" t="s">
        <v>496</v>
      </c>
      <c r="T77" s="462" t="b">
        <f t="shared" si="37"/>
        <v>0</v>
      </c>
      <c r="U77" s="462" t="b">
        <f t="shared" si="38"/>
        <v>0</v>
      </c>
      <c r="V77" s="462" t="b">
        <f t="shared" si="39"/>
        <v>0</v>
      </c>
      <c r="W77" s="466">
        <f t="shared" si="28"/>
        <v>0</v>
      </c>
      <c r="X77" s="466">
        <f>IF(U77,10,0)</f>
        <v>0</v>
      </c>
      <c r="Y77" s="473"/>
      <c r="Z77" s="470">
        <f>IF(T77,1,0)</f>
        <v>0</v>
      </c>
      <c r="AA77" s="470">
        <f>IF(U77,1,0)</f>
        <v>0</v>
      </c>
      <c r="AB77" s="461">
        <f>IF(WC!H102="",0,IF(WC!I102="Describe exposure and controls.",1,0))</f>
        <v>0</v>
      </c>
      <c r="AC77" s="461"/>
      <c r="AD77" s="461">
        <f t="shared" si="29"/>
        <v>0</v>
      </c>
      <c r="AE77" s="461"/>
      <c r="AF77" s="461"/>
      <c r="AG77" s="461"/>
      <c r="AH77" s="461"/>
      <c r="AI77" s="25"/>
      <c r="AJ77" s="25"/>
      <c r="AK77" s="25"/>
      <c r="AL77" s="25"/>
      <c r="AM77" s="25"/>
      <c r="AN77" s="81" t="str">
        <f t="shared" si="27"/>
        <v>SAFETY PROGRAM</v>
      </c>
      <c r="AO77" s="387">
        <f t="shared" si="40"/>
        <v>800</v>
      </c>
      <c r="AQ77" s="641">
        <v>957</v>
      </c>
      <c r="AR77" t="s">
        <v>2185</v>
      </c>
      <c r="AS77" t="s">
        <v>2186</v>
      </c>
      <c r="AT77" t="s">
        <v>2177</v>
      </c>
      <c r="AU77" s="642">
        <v>1095773</v>
      </c>
    </row>
    <row r="78" spans="1:47" ht="13.3" thickBot="1" x14ac:dyDescent="0.4">
      <c r="A78" s="490"/>
      <c r="B78" s="421"/>
      <c r="C78" s="421" t="s">
        <v>497</v>
      </c>
      <c r="D78" s="924"/>
      <c r="E78" s="491">
        <v>10</v>
      </c>
      <c r="F78" s="421"/>
      <c r="G78" s="477">
        <v>0</v>
      </c>
      <c r="H78" s="421">
        <f t="shared" si="30"/>
        <v>0</v>
      </c>
      <c r="I78" s="422" t="b">
        <f>IF(G78=6,TRUE,FALSE)</f>
        <v>0</v>
      </c>
      <c r="J78" s="422" t="b">
        <f t="shared" si="31"/>
        <v>0</v>
      </c>
      <c r="K78" s="423" t="b">
        <f t="shared" si="32"/>
        <v>0</v>
      </c>
      <c r="L78" s="422" t="b">
        <f t="shared" si="33"/>
        <v>0</v>
      </c>
      <c r="M78" s="422" t="b">
        <f t="shared" si="34"/>
        <v>0</v>
      </c>
      <c r="N78" s="422" t="b">
        <f t="shared" si="35"/>
        <v>0</v>
      </c>
      <c r="O78" s="421"/>
      <c r="P78" s="476">
        <f t="shared" si="36"/>
        <v>0</v>
      </c>
      <c r="Q78" s="424">
        <f>IF(I78=TRUE,0,E78)</f>
        <v>10</v>
      </c>
      <c r="R78" s="25">
        <v>0</v>
      </c>
      <c r="S78" s="461" t="s">
        <v>498</v>
      </c>
      <c r="T78" s="462" t="b">
        <f t="shared" si="37"/>
        <v>0</v>
      </c>
      <c r="U78" s="462" t="b">
        <f t="shared" si="38"/>
        <v>0</v>
      </c>
      <c r="V78" s="462" t="b">
        <f t="shared" si="39"/>
        <v>0</v>
      </c>
      <c r="W78" s="466">
        <f t="shared" si="28"/>
        <v>0</v>
      </c>
      <c r="X78" s="466">
        <f>IF(U78,10,0)</f>
        <v>0</v>
      </c>
      <c r="Y78" s="473"/>
      <c r="Z78" s="470">
        <f>IF(T78,1,0)</f>
        <v>0</v>
      </c>
      <c r="AA78" s="470">
        <f>IF(U78,1,0)</f>
        <v>0</v>
      </c>
      <c r="AB78" s="461">
        <f>IF(WC!H106="",0,IF(WC!I106="Describe confined space exposure and controls.",1,0))</f>
        <v>0</v>
      </c>
      <c r="AC78" s="461"/>
      <c r="AD78" s="461">
        <f t="shared" si="29"/>
        <v>0</v>
      </c>
      <c r="AE78" s="461"/>
      <c r="AF78" s="461"/>
      <c r="AG78" s="461"/>
      <c r="AH78" s="461"/>
      <c r="AI78" s="25"/>
      <c r="AJ78" s="25"/>
      <c r="AK78" s="25"/>
      <c r="AL78" s="25"/>
      <c r="AM78" s="25"/>
      <c r="AN78" s="81" t="str">
        <f t="shared" si="27"/>
        <v>MEDICAL CARE PROVIDER</v>
      </c>
      <c r="AO78" s="387">
        <f t="shared" si="40"/>
        <v>400</v>
      </c>
      <c r="AQ78" s="641">
        <v>959</v>
      </c>
      <c r="AR78" t="s">
        <v>2187</v>
      </c>
      <c r="AS78" t="s">
        <v>2188</v>
      </c>
      <c r="AT78" t="s">
        <v>2177</v>
      </c>
      <c r="AU78" s="642">
        <v>25456424</v>
      </c>
    </row>
    <row r="79" spans="1:47" ht="13.3" thickTop="1" x14ac:dyDescent="0.35">
      <c r="A79" s="25"/>
      <c r="B79" s="376"/>
      <c r="C79" s="25"/>
      <c r="D79" s="25"/>
      <c r="E79" s="405"/>
      <c r="F79" s="25"/>
      <c r="G79" s="405"/>
      <c r="H79" s="25"/>
      <c r="I79" s="25"/>
      <c r="J79" s="405"/>
      <c r="K79" s="405"/>
      <c r="L79" s="405"/>
      <c r="M79" s="405"/>
      <c r="N79" s="405"/>
      <c r="O79" s="25"/>
      <c r="P79" s="405"/>
      <c r="Q79" s="25"/>
      <c r="R79" s="25"/>
      <c r="S79" s="481" t="s">
        <v>499</v>
      </c>
      <c r="T79" s="481"/>
      <c r="U79" s="481"/>
      <c r="V79" s="481"/>
      <c r="W79" s="481"/>
      <c r="X79" s="481"/>
      <c r="Y79" s="483" t="b">
        <f>AND(W80=1,W81=1,W82=1,W83=1,W84=1,W85=1,W86=1)</f>
        <v>0</v>
      </c>
      <c r="Z79" s="484">
        <f>(COUNTIF(U80:U87,TRUE))</f>
        <v>0</v>
      </c>
      <c r="AA79" s="485" t="str">
        <f>IF(Y79=TRUE,(1-(SUM(X80:X86)/100)),"")</f>
        <v/>
      </c>
      <c r="AB79" s="481" t="str">
        <f>IF(Y84=FALSE,"",IF(AE85&gt;0,"",IF(AA79&gt;=0.98,"DIAMOND MEDAL",IF(AA79&gt;=0.83,"PLATINUM MEDAL",IF(AA79&gt;=0.68,"GOLD MEDAL",IF(AA79&gt;=0.48,"YELLOW FLAG","RED FLAG"))))))</f>
        <v/>
      </c>
      <c r="AC79" s="481"/>
      <c r="AD79" s="481"/>
      <c r="AE79" s="481"/>
      <c r="AF79" s="481"/>
      <c r="AG79" s="481"/>
      <c r="AH79" s="481"/>
      <c r="AI79" s="25"/>
      <c r="AJ79" s="25"/>
      <c r="AK79" s="25"/>
      <c r="AL79" s="25"/>
      <c r="AM79" s="25"/>
      <c r="AO79" s="387"/>
      <c r="AQ79" s="641">
        <v>975</v>
      </c>
      <c r="AR79" t="s">
        <v>2189</v>
      </c>
      <c r="AS79" t="s">
        <v>2190</v>
      </c>
      <c r="AT79" t="s">
        <v>2177</v>
      </c>
      <c r="AU79" s="642">
        <v>2992103</v>
      </c>
    </row>
    <row r="80" spans="1:47" ht="13.3" thickBot="1" x14ac:dyDescent="0.4">
      <c r="A80" s="405"/>
      <c r="B80" s="25"/>
      <c r="C80" s="25"/>
      <c r="D80" s="25"/>
      <c r="E80" s="405"/>
      <c r="F80" s="25"/>
      <c r="G80" s="405"/>
      <c r="H80" s="25"/>
      <c r="I80" s="425" t="s">
        <v>167</v>
      </c>
      <c r="J80" s="425" t="s">
        <v>172</v>
      </c>
      <c r="K80" s="425" t="s">
        <v>168</v>
      </c>
      <c r="L80" s="425" t="s">
        <v>169</v>
      </c>
      <c r="M80" s="425" t="s">
        <v>170</v>
      </c>
      <c r="N80" s="425" t="s">
        <v>171</v>
      </c>
      <c r="O80" s="25"/>
      <c r="P80" s="405"/>
      <c r="Q80" s="376"/>
      <c r="R80" s="25">
        <v>0</v>
      </c>
      <c r="S80" s="461" t="s">
        <v>500</v>
      </c>
      <c r="T80" s="462" t="b">
        <f>IF(R80=1,TRUE,FALSE)</f>
        <v>0</v>
      </c>
      <c r="U80" s="462" t="b">
        <f>IF(R80=2,TRUE,FALSE)</f>
        <v>0</v>
      </c>
      <c r="V80" s="462" t="b">
        <f>IF(R80=3,TRUE,FALSE)</f>
        <v>0</v>
      </c>
      <c r="W80" s="466">
        <f t="shared" ref="W80:W86" si="41">COUNTIF(T80:V80,TRUE)</f>
        <v>0</v>
      </c>
      <c r="X80" s="466">
        <f>IF(U80,10,0)</f>
        <v>0</v>
      </c>
      <c r="Y80" s="473" t="str">
        <f>IF(Y79=TRUE,1,"")</f>
        <v/>
      </c>
      <c r="Z80" s="470"/>
      <c r="AA80" s="470"/>
      <c r="AB80" s="470">
        <f>IF(Y83,1,0)</f>
        <v>1</v>
      </c>
      <c r="AC80" s="461"/>
      <c r="AD80" s="461">
        <f t="shared" ref="AD80:AD86" si="42">IF(R80=1,1,IF(R80=2,1,0))</f>
        <v>0</v>
      </c>
      <c r="AE80" s="461"/>
      <c r="AF80" s="461"/>
      <c r="AG80" s="461"/>
      <c r="AH80" s="461"/>
      <c r="AI80" s="25"/>
      <c r="AJ80" s="25"/>
      <c r="AK80" s="25"/>
      <c r="AL80" s="25"/>
      <c r="AM80" s="25"/>
      <c r="AO80" s="387"/>
      <c r="AQ80" s="641">
        <v>981</v>
      </c>
      <c r="AR80" t="s">
        <v>2191</v>
      </c>
      <c r="AS80" t="s">
        <v>2192</v>
      </c>
      <c r="AT80" t="s">
        <v>2177</v>
      </c>
      <c r="AU80" s="642">
        <v>1259467</v>
      </c>
    </row>
    <row r="81" spans="1:47" ht="13.3" thickTop="1" x14ac:dyDescent="0.35">
      <c r="A81" s="492" t="s">
        <v>708</v>
      </c>
      <c r="B81" s="398"/>
      <c r="C81" s="398" t="s">
        <v>501</v>
      </c>
      <c r="D81" s="922">
        <v>25</v>
      </c>
      <c r="E81" s="486">
        <v>25</v>
      </c>
      <c r="F81" s="398"/>
      <c r="G81" s="455">
        <v>0</v>
      </c>
      <c r="H81" s="398">
        <f>IF(G81&gt;0,1,0)</f>
        <v>0</v>
      </c>
      <c r="I81" s="487"/>
      <c r="J81" s="400" t="b">
        <f>IF(G81=1,TRUE,FALSE)</f>
        <v>0</v>
      </c>
      <c r="K81" s="401" t="b">
        <f>IF(G81=2,TRUE,FALSE)</f>
        <v>0</v>
      </c>
      <c r="L81" s="400" t="b">
        <f>IF(G81=3,TRUE,FALSE)</f>
        <v>0</v>
      </c>
      <c r="M81" s="400" t="b">
        <f>IF(G81=4,TRUE,FALSE)</f>
        <v>0</v>
      </c>
      <c r="N81" s="400" t="b">
        <f>IF(G81=5,TRUE,FALSE)</f>
        <v>0</v>
      </c>
      <c r="O81" s="398"/>
      <c r="P81" s="453">
        <f>IF(J81=TRUE,E81,IF(K81=TRUE,E81*0.85,IF(L81=TRUE,E81*0.7,IF(M81=TRUE,E81*0.5,0))))</f>
        <v>0</v>
      </c>
      <c r="Q81" s="458">
        <f>E81</f>
        <v>25</v>
      </c>
      <c r="R81" s="25">
        <v>0</v>
      </c>
      <c r="S81" s="461" t="s">
        <v>502</v>
      </c>
      <c r="T81" s="462" t="b">
        <f t="shared" ref="T81:T86" si="43">IF(R81=1,TRUE,FALSE)</f>
        <v>0</v>
      </c>
      <c r="U81" s="462" t="b">
        <f t="shared" ref="U81:U86" si="44">IF(R81=2,TRUE,FALSE)</f>
        <v>0</v>
      </c>
      <c r="V81" s="462" t="b">
        <f t="shared" ref="V81:V86" si="45">IF(R81=3,TRUE,FALSE)</f>
        <v>0</v>
      </c>
      <c r="W81" s="466">
        <f t="shared" si="41"/>
        <v>0</v>
      </c>
      <c r="X81" s="466">
        <f>IF(U81,20,0)</f>
        <v>0</v>
      </c>
      <c r="Y81" s="462" t="b">
        <f>AND(U80=FALSE,U81=FALSE,U83=FALSE,U84=FALSE,U85=FALSE,U86=FALSE)</f>
        <v>1</v>
      </c>
      <c r="Z81" s="470">
        <f>IF(T81,1,0)</f>
        <v>0</v>
      </c>
      <c r="AA81" s="470">
        <f>IF(U81,1,0)</f>
        <v>0</v>
      </c>
      <c r="AB81" s="461">
        <f>IF(WC!H119="",0,IF(WC!I119="Approximate frequency, distance, and number of employees who transport others; approximate number and frequency of employees transported by staff; vehicle types; training for those who transport others, comment on any extended or night driving duties.",1,0))</f>
        <v>0</v>
      </c>
      <c r="AC81" s="461">
        <f>SUM(AB81:AB86)</f>
        <v>0</v>
      </c>
      <c r="AD81" s="461">
        <f t="shared" si="42"/>
        <v>0</v>
      </c>
      <c r="AE81" s="461"/>
      <c r="AF81" s="461"/>
      <c r="AG81" s="461"/>
      <c r="AH81" s="461"/>
      <c r="AI81" s="25"/>
      <c r="AJ81" s="25"/>
      <c r="AK81" s="25"/>
      <c r="AL81" s="25"/>
      <c r="AM81" s="25"/>
      <c r="AN81" s="81" t="str">
        <f t="shared" si="27"/>
        <v>ORIENTATION &amp; JOB</v>
      </c>
      <c r="AO81" s="387">
        <f>$D$81*(Q81-P81)</f>
        <v>625</v>
      </c>
      <c r="AQ81" s="641">
        <v>985</v>
      </c>
      <c r="AR81" t="s">
        <v>2193</v>
      </c>
      <c r="AS81" t="s">
        <v>2194</v>
      </c>
      <c r="AT81" t="s">
        <v>2177</v>
      </c>
      <c r="AU81" s="642">
        <v>2881895</v>
      </c>
    </row>
    <row r="82" spans="1:47" ht="12.9" x14ac:dyDescent="0.35">
      <c r="A82" s="465">
        <f>SUM(P81:P85)</f>
        <v>0</v>
      </c>
      <c r="B82" s="376"/>
      <c r="C82" s="376" t="s">
        <v>503</v>
      </c>
      <c r="D82" s="923"/>
      <c r="E82" s="488">
        <v>25</v>
      </c>
      <c r="F82" s="376"/>
      <c r="G82" s="466">
        <v>0</v>
      </c>
      <c r="H82" s="376">
        <f>IF(G82&gt;0,1,0)</f>
        <v>0</v>
      </c>
      <c r="I82" s="489"/>
      <c r="J82" s="411" t="b">
        <f>IF(G82=1,TRUE,FALSE)</f>
        <v>0</v>
      </c>
      <c r="K82" s="412" t="b">
        <f>IF(G82=2,TRUE,FALSE)</f>
        <v>0</v>
      </c>
      <c r="L82" s="411" t="b">
        <f>IF(G82=3,TRUE,FALSE)</f>
        <v>0</v>
      </c>
      <c r="M82" s="411" t="b">
        <f>IF(G82=4,TRUE,FALSE)</f>
        <v>0</v>
      </c>
      <c r="N82" s="411" t="b">
        <f>IF(G82=5,TRUE,FALSE)</f>
        <v>0</v>
      </c>
      <c r="O82" s="376"/>
      <c r="P82" s="379">
        <f>IF(J82=TRUE,E82,IF(K82=TRUE,E82*0.85,IF(L82=TRUE,E82*0.7,IF(M82=TRUE,E82*0.5,0))))</f>
        <v>0</v>
      </c>
      <c r="Q82" s="469">
        <f>E82</f>
        <v>25</v>
      </c>
      <c r="R82" s="25">
        <v>0</v>
      </c>
      <c r="S82" s="461" t="s">
        <v>504</v>
      </c>
      <c r="T82" s="462" t="b">
        <f t="shared" si="43"/>
        <v>0</v>
      </c>
      <c r="U82" s="462" t="b">
        <f t="shared" si="44"/>
        <v>0</v>
      </c>
      <c r="V82" s="462" t="b">
        <f t="shared" si="45"/>
        <v>0</v>
      </c>
      <c r="W82" s="466">
        <f t="shared" si="41"/>
        <v>0</v>
      </c>
      <c r="X82" s="466">
        <f>IF(U82,15,0)</f>
        <v>0</v>
      </c>
      <c r="Y82" s="462" t="b">
        <f>AND(Y79=TRUE,Y81=TRUE)</f>
        <v>0</v>
      </c>
      <c r="Z82" s="470">
        <f>IF(T82,1,0)</f>
        <v>0</v>
      </c>
      <c r="AA82" s="470"/>
      <c r="AB82" s="461">
        <f>IF(WC!H123="",0,IF(WC!I123="Approximate frequency, distance, and number of employees who drive; reason for trips; vehicle types; training for those who drive, comment on any extended or night driving duties.",1,0))</f>
        <v>0</v>
      </c>
      <c r="AC82" s="461"/>
      <c r="AD82" s="461">
        <f t="shared" si="42"/>
        <v>0</v>
      </c>
      <c r="AE82" s="461"/>
      <c r="AF82" s="461"/>
      <c r="AG82" s="461"/>
      <c r="AH82" s="461"/>
      <c r="AI82" s="25"/>
      <c r="AJ82" s="25"/>
      <c r="AK82" s="25"/>
      <c r="AL82" s="25"/>
      <c r="AM82" s="25"/>
      <c r="AN82" s="81" t="str">
        <f t="shared" si="27"/>
        <v>LIFTING</v>
      </c>
      <c r="AO82" s="387">
        <f>$D$81*(Q82-P82)</f>
        <v>625</v>
      </c>
      <c r="AQ82" s="641">
        <v>989</v>
      </c>
      <c r="AR82" t="s">
        <v>2195</v>
      </c>
      <c r="AS82" t="s">
        <v>2196</v>
      </c>
      <c r="AT82" t="s">
        <v>2177</v>
      </c>
      <c r="AU82" s="642">
        <v>9075205</v>
      </c>
    </row>
    <row r="83" spans="1:47" ht="12.9" x14ac:dyDescent="0.35">
      <c r="A83" s="465">
        <f>SUM(Q81:Q85)</f>
        <v>100</v>
      </c>
      <c r="B83" s="376"/>
      <c r="C83" s="459" t="s">
        <v>505</v>
      </c>
      <c r="D83" s="923"/>
      <c r="E83" s="379">
        <v>15</v>
      </c>
      <c r="F83" s="376"/>
      <c r="G83" s="466">
        <v>0</v>
      </c>
      <c r="H83" s="376">
        <f>IF(G83&gt;0,1,0)</f>
        <v>0</v>
      </c>
      <c r="I83" s="467"/>
      <c r="J83" s="411" t="b">
        <f>IF(G83=1,TRUE,FALSE)</f>
        <v>0</v>
      </c>
      <c r="K83" s="412" t="b">
        <f>IF(G83=2,TRUE,FALSE)</f>
        <v>0</v>
      </c>
      <c r="L83" s="411" t="b">
        <f>IF(G83=3,TRUE,FALSE)</f>
        <v>0</v>
      </c>
      <c r="M83" s="411" t="b">
        <f>IF(G83=4,TRUE,FALSE)</f>
        <v>0</v>
      </c>
      <c r="N83" s="411" t="b">
        <f>IF(G83=5,TRUE,FALSE)</f>
        <v>0</v>
      </c>
      <c r="O83" s="376"/>
      <c r="P83" s="379">
        <f>IF(J83=TRUE,E83,IF(K83=TRUE,E83*0.85,IF(L83=TRUE,E83*0.7,IF(M83=TRUE,E83*0.5,0))))</f>
        <v>0</v>
      </c>
      <c r="Q83" s="469">
        <f>E83</f>
        <v>15</v>
      </c>
      <c r="R83" s="25">
        <v>0</v>
      </c>
      <c r="S83" s="461" t="s">
        <v>506</v>
      </c>
      <c r="T83" s="462" t="b">
        <f t="shared" si="43"/>
        <v>0</v>
      </c>
      <c r="U83" s="462" t="b">
        <f t="shared" si="44"/>
        <v>0</v>
      </c>
      <c r="V83" s="462" t="b">
        <f t="shared" si="45"/>
        <v>0</v>
      </c>
      <c r="W83" s="466">
        <f t="shared" si="41"/>
        <v>0</v>
      </c>
      <c r="X83" s="466">
        <f>IF(U83,10,0)</f>
        <v>0</v>
      </c>
      <c r="Y83" s="473" t="b">
        <f>IF(AC81&gt;0,FALSE,TRUE)</f>
        <v>1</v>
      </c>
      <c r="Z83" s="470"/>
      <c r="AA83" s="470"/>
      <c r="AB83" s="461"/>
      <c r="AC83" s="461"/>
      <c r="AD83" s="461">
        <f t="shared" si="42"/>
        <v>0</v>
      </c>
      <c r="AE83" s="461"/>
      <c r="AF83" s="461"/>
      <c r="AG83" s="461"/>
      <c r="AH83" s="461"/>
      <c r="AI83" s="25"/>
      <c r="AJ83" s="25"/>
      <c r="AK83" s="25"/>
      <c r="AL83" s="25"/>
      <c r="AM83" s="25"/>
      <c r="AN83" s="81" t="str">
        <f t="shared" si="27"/>
        <v>HAZARD COMMUNICATION</v>
      </c>
      <c r="AO83" s="387">
        <f>$D$81*(Q83-P83)</f>
        <v>375</v>
      </c>
      <c r="AQ83" s="641">
        <v>1017</v>
      </c>
      <c r="AR83" t="s">
        <v>2197</v>
      </c>
      <c r="AS83" t="s">
        <v>2198</v>
      </c>
      <c r="AT83" t="s">
        <v>2177</v>
      </c>
      <c r="AU83" s="642">
        <v>6352237</v>
      </c>
    </row>
    <row r="84" spans="1:47" ht="12.9" x14ac:dyDescent="0.35">
      <c r="A84" s="472" t="str">
        <f>IF(L104=5,A82/A83,"grade(s) missing")</f>
        <v>grade(s) missing</v>
      </c>
      <c r="B84" s="379">
        <f>IF(A84="grade(s) missing",0,1)</f>
        <v>0</v>
      </c>
      <c r="C84" s="459" t="s">
        <v>507</v>
      </c>
      <c r="D84" s="923"/>
      <c r="E84" s="379">
        <v>15</v>
      </c>
      <c r="F84" s="376"/>
      <c r="G84" s="466">
        <v>0</v>
      </c>
      <c r="H84" s="376">
        <f>IF(G84&gt;0,1,0)</f>
        <v>0</v>
      </c>
      <c r="I84" s="467"/>
      <c r="J84" s="411" t="b">
        <f>IF(G84=1,TRUE,FALSE)</f>
        <v>0</v>
      </c>
      <c r="K84" s="412" t="b">
        <f>IF(G84=2,TRUE,FALSE)</f>
        <v>0</v>
      </c>
      <c r="L84" s="411" t="b">
        <f>IF(G84=3,TRUE,FALSE)</f>
        <v>0</v>
      </c>
      <c r="M84" s="411" t="b">
        <f>IF(G84=4,TRUE,FALSE)</f>
        <v>0</v>
      </c>
      <c r="N84" s="411" t="b">
        <f>IF(G84=5,TRUE,FALSE)</f>
        <v>0</v>
      </c>
      <c r="O84" s="376"/>
      <c r="P84" s="379">
        <f>IF(J84=TRUE,E84,IF(K84=TRUE,E84*0.85,IF(L84=TRUE,E84*0.7,IF(M84=TRUE,E84*0.5,0))))</f>
        <v>0</v>
      </c>
      <c r="Q84" s="469">
        <f>E84</f>
        <v>15</v>
      </c>
      <c r="R84" s="25">
        <v>0</v>
      </c>
      <c r="S84" s="461" t="s">
        <v>508</v>
      </c>
      <c r="T84" s="462" t="b">
        <f t="shared" si="43"/>
        <v>0</v>
      </c>
      <c r="U84" s="462" t="b">
        <f t="shared" si="44"/>
        <v>0</v>
      </c>
      <c r="V84" s="462" t="b">
        <f t="shared" si="45"/>
        <v>0</v>
      </c>
      <c r="W84" s="466">
        <f t="shared" si="41"/>
        <v>0</v>
      </c>
      <c r="X84" s="466">
        <f>IF(U84,15,0)</f>
        <v>0</v>
      </c>
      <c r="Y84" s="475" t="b">
        <f>AND(Y79=TRUE,Y83=TRUE)</f>
        <v>0</v>
      </c>
      <c r="Z84" s="470"/>
      <c r="AA84" s="470"/>
      <c r="AB84" s="461"/>
      <c r="AC84" s="461"/>
      <c r="AD84" s="461">
        <f t="shared" si="42"/>
        <v>0</v>
      </c>
      <c r="AE84" s="461"/>
      <c r="AF84" s="461"/>
      <c r="AG84" s="461"/>
      <c r="AH84" s="461"/>
      <c r="AI84" s="25"/>
      <c r="AJ84" s="25"/>
      <c r="AK84" s="25"/>
      <c r="AL84" s="25"/>
      <c r="AM84" s="25"/>
      <c r="AN84" s="81" t="str">
        <f t="shared" si="27"/>
        <v>BLOOD-BORNE PATHOGEN</v>
      </c>
      <c r="AO84" s="387">
        <f>$D$81*(Q84-P84)</f>
        <v>375</v>
      </c>
      <c r="AQ84" s="641">
        <v>1021</v>
      </c>
      <c r="AR84" t="s">
        <v>2199</v>
      </c>
      <c r="AS84" t="s">
        <v>2200</v>
      </c>
      <c r="AT84" t="s">
        <v>2177</v>
      </c>
      <c r="AU84" s="642">
        <v>3183473</v>
      </c>
    </row>
    <row r="85" spans="1:47" ht="13.3" thickBot="1" x14ac:dyDescent="0.4">
      <c r="A85" s="493" t="str">
        <f>IF(A84="grade(s) missing","",IF(A84&gt;=0.98,"DIAMOND MEDAL",IF(A84&gt;=0.83,"PLATINUM MEDAL",IF(A84&gt;=0.68,"GOLD MEDAL",IF(A84&gt;=0.48,"YELLOW FLAG","RED FLAG")))))</f>
        <v/>
      </c>
      <c r="B85" s="421"/>
      <c r="C85" s="494" t="s">
        <v>509</v>
      </c>
      <c r="D85" s="924"/>
      <c r="E85" s="476">
        <v>20</v>
      </c>
      <c r="F85" s="421"/>
      <c r="G85" s="477">
        <v>0</v>
      </c>
      <c r="H85" s="421">
        <f>IF(G85&gt;0,1,0)</f>
        <v>0</v>
      </c>
      <c r="I85" s="495"/>
      <c r="J85" s="422" t="b">
        <f>IF(G85=1,TRUE,FALSE)</f>
        <v>0</v>
      </c>
      <c r="K85" s="423" t="b">
        <f>IF(G85=2,TRUE,FALSE)</f>
        <v>0</v>
      </c>
      <c r="L85" s="422" t="b">
        <f>IF(G85=3,TRUE,FALSE)</f>
        <v>0</v>
      </c>
      <c r="M85" s="422" t="b">
        <f>IF(G85=4,TRUE,FALSE)</f>
        <v>0</v>
      </c>
      <c r="N85" s="422" t="b">
        <f>IF(G85=5,TRUE,FALSE)</f>
        <v>0</v>
      </c>
      <c r="O85" s="421"/>
      <c r="P85" s="476">
        <f>IF(J85=TRUE,E85,IF(K85=TRUE,E85*0.85,IF(L85=TRUE,E85*0.7,IF(M85=TRUE,E85*0.5,0))))</f>
        <v>0</v>
      </c>
      <c r="Q85" s="480">
        <f>E85</f>
        <v>20</v>
      </c>
      <c r="R85" s="25">
        <v>0</v>
      </c>
      <c r="S85" s="461" t="s">
        <v>510</v>
      </c>
      <c r="T85" s="462" t="b">
        <f t="shared" si="43"/>
        <v>0</v>
      </c>
      <c r="U85" s="462" t="b">
        <f t="shared" si="44"/>
        <v>0</v>
      </c>
      <c r="V85" s="462" t="b">
        <f t="shared" si="45"/>
        <v>0</v>
      </c>
      <c r="W85" s="466">
        <f t="shared" si="41"/>
        <v>0</v>
      </c>
      <c r="X85" s="466">
        <f>IF(U85,15,0)</f>
        <v>0</v>
      </c>
      <c r="Y85" s="448"/>
      <c r="Z85" s="470"/>
      <c r="AA85" s="470"/>
      <c r="AB85" s="461"/>
      <c r="AC85" s="461"/>
      <c r="AD85" s="461">
        <f t="shared" si="42"/>
        <v>0</v>
      </c>
      <c r="AE85" s="461"/>
      <c r="AF85" s="461"/>
      <c r="AG85" s="461"/>
      <c r="AH85" s="461"/>
      <c r="AI85" s="25"/>
      <c r="AJ85" s="25"/>
      <c r="AK85" s="25"/>
      <c r="AL85" s="25"/>
      <c r="AM85" s="25"/>
      <c r="AN85" s="81" t="str">
        <f t="shared" si="27"/>
        <v>FIRST-AID / CPR</v>
      </c>
      <c r="AO85" s="387">
        <f>$D$81*(Q85-P85)</f>
        <v>500</v>
      </c>
      <c r="AQ85" s="641">
        <v>1025</v>
      </c>
      <c r="AR85" t="s">
        <v>2201</v>
      </c>
      <c r="AS85" t="s">
        <v>2202</v>
      </c>
      <c r="AT85" t="s">
        <v>2177</v>
      </c>
      <c r="AU85" s="642">
        <v>5914735</v>
      </c>
    </row>
    <row r="86" spans="1:47" ht="13.3" thickTop="1" x14ac:dyDescent="0.35">
      <c r="A86" s="496"/>
      <c r="B86" s="376"/>
      <c r="C86" s="376"/>
      <c r="D86" s="497"/>
      <c r="E86" s="379"/>
      <c r="F86" s="376"/>
      <c r="G86" s="379"/>
      <c r="H86" s="376"/>
      <c r="I86" s="25"/>
      <c r="J86" s="405"/>
      <c r="K86" s="405"/>
      <c r="L86" s="405"/>
      <c r="M86" s="405"/>
      <c r="N86" s="405"/>
      <c r="O86" s="376"/>
      <c r="P86" s="379"/>
      <c r="Q86" s="376"/>
      <c r="R86" s="25">
        <v>0</v>
      </c>
      <c r="S86" s="461" t="s">
        <v>493</v>
      </c>
      <c r="T86" s="462" t="b">
        <f t="shared" si="43"/>
        <v>0</v>
      </c>
      <c r="U86" s="462" t="b">
        <f t="shared" si="44"/>
        <v>0</v>
      </c>
      <c r="V86" s="462" t="b">
        <f t="shared" si="45"/>
        <v>0</v>
      </c>
      <c r="W86" s="466">
        <f t="shared" si="41"/>
        <v>0</v>
      </c>
      <c r="X86" s="466">
        <f>IF(U86,15,0)</f>
        <v>0</v>
      </c>
      <c r="Y86" s="473"/>
      <c r="Z86" s="470">
        <f>IF(T86,1,0)</f>
        <v>0</v>
      </c>
      <c r="AA86" s="470">
        <f>IF(U86,1,0)</f>
        <v>0</v>
      </c>
      <c r="AB86" s="461">
        <f>IF(WC!H133="",0,IF(WC!I133="Describe which PPE is needed why it is needed, and if it is used.",1,0))</f>
        <v>0</v>
      </c>
      <c r="AC86" s="461"/>
      <c r="AD86" s="461">
        <f t="shared" si="42"/>
        <v>0</v>
      </c>
      <c r="AE86" s="461"/>
      <c r="AF86" s="25"/>
      <c r="AG86" s="498"/>
      <c r="AH86" s="498"/>
      <c r="AI86" s="25"/>
      <c r="AJ86" s="25"/>
      <c r="AK86" s="25"/>
      <c r="AL86" s="25"/>
      <c r="AM86" s="25"/>
      <c r="AO86" s="387"/>
      <c r="AQ86" s="641">
        <v>1031</v>
      </c>
      <c r="AR86" t="s">
        <v>2203</v>
      </c>
      <c r="AS86" t="s">
        <v>2204</v>
      </c>
      <c r="AT86" t="s">
        <v>2177</v>
      </c>
      <c r="AU86" s="642" t="s">
        <v>2059</v>
      </c>
    </row>
    <row r="87" spans="1:47" ht="13.3" thickBot="1" x14ac:dyDescent="0.4">
      <c r="A87" s="25"/>
      <c r="B87" s="25"/>
      <c r="C87" s="25"/>
      <c r="D87" s="25"/>
      <c r="E87" s="405"/>
      <c r="F87" s="25"/>
      <c r="G87" s="405"/>
      <c r="H87" s="25"/>
      <c r="I87" s="425" t="s">
        <v>167</v>
      </c>
      <c r="J87" s="425" t="s">
        <v>172</v>
      </c>
      <c r="K87" s="425" t="s">
        <v>168</v>
      </c>
      <c r="L87" s="425" t="s">
        <v>169</v>
      </c>
      <c r="M87" s="425" t="s">
        <v>170</v>
      </c>
      <c r="N87" s="425" t="s">
        <v>171</v>
      </c>
      <c r="O87" s="25"/>
      <c r="P87" s="405"/>
      <c r="Q87" s="25"/>
      <c r="R87" s="25"/>
      <c r="S87" s="481" t="s">
        <v>511</v>
      </c>
      <c r="T87" s="481"/>
      <c r="U87" s="481"/>
      <c r="V87" s="481"/>
      <c r="W87" s="481"/>
      <c r="X87" s="481"/>
      <c r="Y87" s="483" t="b">
        <f>AND(W88=1,W89=1,W90=1)</f>
        <v>0</v>
      </c>
      <c r="Z87" s="484">
        <f>(COUNTIF(U88:U91,TRUE))</f>
        <v>0</v>
      </c>
      <c r="AA87" s="485" t="str">
        <f>IF(Y87=TRUE,(1-(SUM(X88:X91)/100)),"")</f>
        <v/>
      </c>
      <c r="AB87" s="481" t="str">
        <f>IF(Y91=FALSE,"",IF(AA87&gt;=0.98,"DIAMOND MEDAL",IF(AA87&gt;=0.83,"PLATINUM MEDAL",IF(AA87&gt;=0.68,"GOLD MEDAL",IF(AA87&gt;=0.48,"YELLOW FLAG","RED FLAG")))))</f>
        <v/>
      </c>
      <c r="AC87" s="481"/>
      <c r="AD87" s="481"/>
      <c r="AE87" s="481"/>
      <c r="AF87" s="481"/>
      <c r="AG87" s="461"/>
      <c r="AH87" s="461"/>
      <c r="AI87" s="25"/>
      <c r="AJ87" s="25"/>
      <c r="AK87" s="25"/>
      <c r="AL87" s="25"/>
      <c r="AM87" s="25"/>
      <c r="AO87" s="387"/>
      <c r="AQ87" s="641">
        <v>1033</v>
      </c>
      <c r="AR87" t="s">
        <v>2205</v>
      </c>
      <c r="AS87" t="s">
        <v>2206</v>
      </c>
      <c r="AT87" t="s">
        <v>2177</v>
      </c>
      <c r="AU87" s="642">
        <v>7745202</v>
      </c>
    </row>
    <row r="88" spans="1:47" ht="13.3" thickTop="1" x14ac:dyDescent="0.35">
      <c r="A88" s="492" t="s">
        <v>512</v>
      </c>
      <c r="B88" s="398"/>
      <c r="C88" s="398" t="s">
        <v>513</v>
      </c>
      <c r="D88" s="922">
        <v>10</v>
      </c>
      <c r="E88" s="486">
        <v>30</v>
      </c>
      <c r="F88" s="398"/>
      <c r="G88" s="455">
        <v>0</v>
      </c>
      <c r="H88" s="398">
        <f>IF(G88&gt;0,1,0)</f>
        <v>0</v>
      </c>
      <c r="I88" s="456"/>
      <c r="J88" s="400" t="b">
        <f>IF(G88=1,TRUE,FALSE)</f>
        <v>0</v>
      </c>
      <c r="K88" s="401" t="b">
        <f>IF(G88=2,TRUE,FALSE)</f>
        <v>0</v>
      </c>
      <c r="L88" s="400" t="b">
        <f>IF(G88=3,TRUE,FALSE)</f>
        <v>0</v>
      </c>
      <c r="M88" s="400" t="b">
        <f>IF(G88=4,TRUE,FALSE)</f>
        <v>0</v>
      </c>
      <c r="N88" s="400" t="b">
        <f>IF(G88=5,TRUE,FALSE)</f>
        <v>0</v>
      </c>
      <c r="O88" s="398"/>
      <c r="P88" s="453">
        <f>IF(J88=TRUE,E88,IF(K88=TRUE,E88*0.85,IF(L88=TRUE,E88*0.7,IF(M88=TRUE,E88*0.5,0))))</f>
        <v>0</v>
      </c>
      <c r="Q88" s="458">
        <f>E88</f>
        <v>30</v>
      </c>
      <c r="R88" s="25">
        <v>0</v>
      </c>
      <c r="S88" s="461" t="s">
        <v>514</v>
      </c>
      <c r="T88" s="462" t="b">
        <f>IF(R88=1,TRUE,FALSE)</f>
        <v>0</v>
      </c>
      <c r="U88" s="462" t="b">
        <f>IF(R88=2,TRUE,FALSE)</f>
        <v>0</v>
      </c>
      <c r="V88" s="462" t="b">
        <f>IF(R88=3,TRUE,FALSE)</f>
        <v>0</v>
      </c>
      <c r="W88" s="466">
        <f>COUNTIF(T88:V88,TRUE)</f>
        <v>0</v>
      </c>
      <c r="X88" s="466">
        <f>IF(U88,33,0)</f>
        <v>0</v>
      </c>
      <c r="Y88" s="473" t="str">
        <f>IF(Y87=TRUE,1,"")</f>
        <v/>
      </c>
      <c r="Z88" s="470"/>
      <c r="AA88" s="470"/>
      <c r="AB88" s="470">
        <f>IF(Y90,1,0)</f>
        <v>1</v>
      </c>
      <c r="AC88" s="461"/>
      <c r="AD88" s="461">
        <f>IF(R88=1,1,IF(R88=2,1,0))</f>
        <v>0</v>
      </c>
      <c r="AE88" s="461"/>
      <c r="AF88" s="461"/>
      <c r="AG88" s="461"/>
      <c r="AH88" s="461"/>
      <c r="AI88" s="25"/>
      <c r="AJ88" s="25"/>
      <c r="AK88" s="25"/>
      <c r="AL88" s="25"/>
      <c r="AM88" s="25"/>
      <c r="AN88" s="81" t="str">
        <f t="shared" si="27"/>
        <v>INTERNAL</v>
      </c>
      <c r="AO88" s="387">
        <f>$D$88*(Q88-P88)</f>
        <v>300</v>
      </c>
      <c r="AQ88" s="641">
        <v>1037</v>
      </c>
      <c r="AR88" t="s">
        <v>2207</v>
      </c>
      <c r="AS88" t="s">
        <v>2208</v>
      </c>
      <c r="AT88" t="s">
        <v>2177</v>
      </c>
      <c r="AU88" s="642">
        <v>3772728</v>
      </c>
    </row>
    <row r="89" spans="1:47" ht="12.9" x14ac:dyDescent="0.35">
      <c r="A89" s="465">
        <f>SUM(P88:P91)</f>
        <v>0</v>
      </c>
      <c r="B89" s="376"/>
      <c r="C89" s="25" t="s">
        <v>515</v>
      </c>
      <c r="D89" s="923"/>
      <c r="E89" s="488">
        <v>10</v>
      </c>
      <c r="F89" s="376"/>
      <c r="G89" s="466">
        <v>0</v>
      </c>
      <c r="H89" s="376">
        <f>IF(G89&gt;0,1,0)</f>
        <v>0</v>
      </c>
      <c r="I89" s="467"/>
      <c r="J89" s="411" t="b">
        <f>IF(G89=1,TRUE,FALSE)</f>
        <v>0</v>
      </c>
      <c r="K89" s="412" t="b">
        <f>IF(G89=2,TRUE,FALSE)</f>
        <v>0</v>
      </c>
      <c r="L89" s="411" t="b">
        <f>IF(G89=3,TRUE,FALSE)</f>
        <v>0</v>
      </c>
      <c r="M89" s="411" t="b">
        <f>IF(G89=4,TRUE,FALSE)</f>
        <v>0</v>
      </c>
      <c r="N89" s="411" t="b">
        <f>IF(G89=5,TRUE,FALSE)</f>
        <v>0</v>
      </c>
      <c r="O89" s="376"/>
      <c r="P89" s="379">
        <f>IF(J89=TRUE,E89,IF(K89=TRUE,E89*0.85,IF(L89=TRUE,E89*0.7,IF(M89=TRUE,E89*0.5,0))))</f>
        <v>0</v>
      </c>
      <c r="Q89" s="469">
        <f>E89</f>
        <v>10</v>
      </c>
      <c r="R89" s="25">
        <v>0</v>
      </c>
      <c r="S89" s="461" t="s">
        <v>516</v>
      </c>
      <c r="T89" s="462" t="b">
        <f>IF(R89=1,TRUE,FALSE)</f>
        <v>0</v>
      </c>
      <c r="U89" s="462" t="b">
        <f>IF(R89=2,TRUE,FALSE)</f>
        <v>0</v>
      </c>
      <c r="V89" s="462" t="b">
        <f>IF(R89=3,TRUE,FALSE)</f>
        <v>0</v>
      </c>
      <c r="W89" s="466">
        <f>COUNTIF(T89:V89,TRUE)</f>
        <v>0</v>
      </c>
      <c r="X89" s="466">
        <f>IF(U89,33,0)</f>
        <v>0</v>
      </c>
      <c r="Y89" s="462" t="b">
        <f>AND(U88=FALSE,U89=FALSE,U90=FALSE)</f>
        <v>1</v>
      </c>
      <c r="Z89" s="470"/>
      <c r="AA89" s="470"/>
      <c r="AB89" s="461"/>
      <c r="AC89" s="461"/>
      <c r="AD89" s="461">
        <f>IF(R89=1,1,IF(R89=2,1,0))</f>
        <v>0</v>
      </c>
      <c r="AE89" s="461"/>
      <c r="AF89" s="461"/>
      <c r="AG89" s="461"/>
      <c r="AH89" s="461"/>
      <c r="AI89" s="25"/>
      <c r="AJ89" s="25"/>
      <c r="AK89" s="25"/>
      <c r="AL89" s="25"/>
      <c r="AM89" s="25"/>
      <c r="AN89" s="81" t="str">
        <f t="shared" si="27"/>
        <v>EXTERNAL</v>
      </c>
      <c r="AO89" s="387">
        <f>$D$88*(Q89-P89)</f>
        <v>100</v>
      </c>
      <c r="AQ89" s="641">
        <v>1041</v>
      </c>
      <c r="AR89" t="s">
        <v>2209</v>
      </c>
      <c r="AS89" t="s">
        <v>2210</v>
      </c>
      <c r="AT89" t="s">
        <v>2177</v>
      </c>
      <c r="AU89" s="642">
        <v>8456170</v>
      </c>
    </row>
    <row r="90" spans="1:47" ht="12.9" x14ac:dyDescent="0.35">
      <c r="A90" s="465">
        <f>SUM(Q88:Q91)</f>
        <v>100</v>
      </c>
      <c r="B90" s="376"/>
      <c r="C90" s="376" t="s">
        <v>517</v>
      </c>
      <c r="D90" s="923"/>
      <c r="E90" s="488">
        <v>30</v>
      </c>
      <c r="F90" s="376"/>
      <c r="G90" s="466">
        <v>0</v>
      </c>
      <c r="H90" s="376">
        <f>IF(G90&gt;0,1,0)</f>
        <v>0</v>
      </c>
      <c r="I90" s="467"/>
      <c r="J90" s="411" t="b">
        <f>IF(G90=1,TRUE,FALSE)</f>
        <v>0</v>
      </c>
      <c r="K90" s="412" t="b">
        <f>IF(G90=2,TRUE,FALSE)</f>
        <v>0</v>
      </c>
      <c r="L90" s="411" t="b">
        <f>IF(G90=3,TRUE,FALSE)</f>
        <v>0</v>
      </c>
      <c r="M90" s="411" t="b">
        <f>IF(G90=4,TRUE,FALSE)</f>
        <v>0</v>
      </c>
      <c r="N90" s="411" t="b">
        <f>IF(G90=5,TRUE,FALSE)</f>
        <v>0</v>
      </c>
      <c r="O90" s="376"/>
      <c r="P90" s="379">
        <f>IF(J90=TRUE,E90,IF(K90=TRUE,E90*0.85,IF(L90=TRUE,E90*0.7,IF(M90=TRUE,E90*0.5,0))))</f>
        <v>0</v>
      </c>
      <c r="Q90" s="469">
        <f>E90</f>
        <v>30</v>
      </c>
      <c r="R90" s="25">
        <v>0</v>
      </c>
      <c r="S90" s="461" t="s">
        <v>518</v>
      </c>
      <c r="T90" s="462" t="b">
        <f>IF(R90=1,TRUE,FALSE)</f>
        <v>0</v>
      </c>
      <c r="U90" s="462" t="b">
        <f>IF(R90=2,TRUE,FALSE)</f>
        <v>0</v>
      </c>
      <c r="V90" s="462" t="b">
        <f>IF(R90=3,TRUE,FALSE)</f>
        <v>0</v>
      </c>
      <c r="W90" s="466">
        <f>COUNTIF(T90:V90,TRUE)</f>
        <v>0</v>
      </c>
      <c r="X90" s="466">
        <f>IF(U90,34,0)</f>
        <v>0</v>
      </c>
      <c r="Y90" s="81" t="b">
        <v>1</v>
      </c>
      <c r="Z90" s="470"/>
      <c r="AA90" s="470"/>
      <c r="AB90" s="461"/>
      <c r="AC90" s="461"/>
      <c r="AD90" s="461">
        <f>IF(R90=1,1,IF(R90=2,1,0))</f>
        <v>0</v>
      </c>
      <c r="AE90" s="461"/>
      <c r="AF90" s="461"/>
      <c r="AG90" s="461"/>
      <c r="AH90" s="461"/>
      <c r="AI90" s="25"/>
      <c r="AJ90" s="25"/>
      <c r="AK90" s="25"/>
      <c r="AL90" s="25"/>
      <c r="AM90" s="25"/>
      <c r="AN90" s="81" t="str">
        <f t="shared" si="27"/>
        <v>ACCIDENT INVESTIGATING</v>
      </c>
      <c r="AO90" s="387">
        <f>$D$88*(Q90-P90)</f>
        <v>300</v>
      </c>
      <c r="AQ90" s="641">
        <v>1045</v>
      </c>
      <c r="AR90" t="s">
        <v>2211</v>
      </c>
      <c r="AS90" t="s">
        <v>2212</v>
      </c>
      <c r="AT90" t="s">
        <v>2177</v>
      </c>
      <c r="AU90" s="642">
        <v>1163415</v>
      </c>
    </row>
    <row r="91" spans="1:47" ht="12.9" x14ac:dyDescent="0.35">
      <c r="A91" s="472" t="str">
        <f>IF(L105=4,A89/A90,"grade(s) missing")</f>
        <v>grade(s) missing</v>
      </c>
      <c r="B91" s="379">
        <f>IF(A91="grade(s) missing",0,1)</f>
        <v>0</v>
      </c>
      <c r="C91" s="459" t="s">
        <v>519</v>
      </c>
      <c r="D91" s="923"/>
      <c r="E91" s="488">
        <v>30</v>
      </c>
      <c r="F91" s="376"/>
      <c r="G91" s="466">
        <v>0</v>
      </c>
      <c r="H91" s="376">
        <f>IF(G91&gt;0,1,0)</f>
        <v>0</v>
      </c>
      <c r="I91" s="499"/>
      <c r="J91" s="411" t="b">
        <f>IF(G91=1,TRUE,FALSE)</f>
        <v>0</v>
      </c>
      <c r="K91" s="412" t="b">
        <f>IF(G91=2,TRUE,FALSE)</f>
        <v>0</v>
      </c>
      <c r="L91" s="411" t="b">
        <f>IF(G91=3,TRUE,FALSE)</f>
        <v>0</v>
      </c>
      <c r="M91" s="411" t="b">
        <f>IF(G91=4,TRUE,FALSE)</f>
        <v>0</v>
      </c>
      <c r="N91" s="411" t="b">
        <f>IF(G91=5,TRUE,FALSE)</f>
        <v>0</v>
      </c>
      <c r="O91" s="376"/>
      <c r="P91" s="379">
        <f>IF(J91=TRUE,E91,IF(K91=TRUE,E91*0.85,IF(L91=TRUE,E91*0.7,IF(M91=TRUE,E91*0.5,0))))</f>
        <v>0</v>
      </c>
      <c r="Q91" s="469">
        <f>E91</f>
        <v>30</v>
      </c>
      <c r="R91" s="25"/>
      <c r="S91" s="461"/>
      <c r="T91" s="462"/>
      <c r="U91" s="462"/>
      <c r="V91" s="462"/>
      <c r="W91" s="466"/>
      <c r="X91" s="466"/>
      <c r="Y91" s="462" t="b">
        <f>AND(Y87=TRUE,Y90=TRUE)</f>
        <v>0</v>
      </c>
      <c r="Z91" s="470"/>
      <c r="AA91" s="470"/>
      <c r="AB91" s="461"/>
      <c r="AC91" s="461"/>
      <c r="AD91" s="461"/>
      <c r="AE91" s="461"/>
      <c r="AF91" s="461"/>
      <c r="AG91" s="461"/>
      <c r="AH91" s="461"/>
      <c r="AI91" s="25"/>
      <c r="AJ91" s="25"/>
      <c r="AK91" s="25"/>
      <c r="AL91" s="25"/>
      <c r="AM91" s="25"/>
      <c r="AN91" s="81" t="str">
        <f t="shared" si="27"/>
        <v>PREMISES</v>
      </c>
      <c r="AO91" s="387">
        <f>$D$88*(Q91-P91)</f>
        <v>300</v>
      </c>
      <c r="AQ91" s="641">
        <v>1049</v>
      </c>
      <c r="AR91" t="s">
        <v>2213</v>
      </c>
      <c r="AS91" t="s">
        <v>2214</v>
      </c>
      <c r="AT91" t="s">
        <v>2177</v>
      </c>
      <c r="AU91" s="642">
        <v>8024014</v>
      </c>
    </row>
    <row r="92" spans="1:47" ht="13.3" thickBot="1" x14ac:dyDescent="0.4">
      <c r="A92" s="493" t="str">
        <f>IF(A91="grade(s) missing","",IF(A91&gt;=0.98,"DIAMOND MEDAL",IF(A91&gt;=0.83,"PLATINUM MEDAL",IF(A91&gt;=0.68,"GOLD MEDAL",IF(A91&gt;=0.48,"YELLOW FLAG","RED FLAG")))))</f>
        <v/>
      </c>
      <c r="B92" s="421"/>
      <c r="C92" s="494"/>
      <c r="D92" s="924"/>
      <c r="E92" s="476"/>
      <c r="F92" s="421"/>
      <c r="G92" s="476"/>
      <c r="H92" s="421"/>
      <c r="I92" s="421"/>
      <c r="J92" s="476"/>
      <c r="K92" s="476"/>
      <c r="L92" s="476"/>
      <c r="M92" s="476"/>
      <c r="N92" s="476"/>
      <c r="O92" s="421"/>
      <c r="P92" s="476"/>
      <c r="Q92" s="480"/>
      <c r="R92" s="25"/>
      <c r="S92" s="461"/>
      <c r="T92" s="461"/>
      <c r="U92" s="461"/>
      <c r="V92" s="461"/>
      <c r="W92" s="461"/>
      <c r="X92" s="461"/>
      <c r="Y92" s="475"/>
      <c r="Z92" s="470"/>
      <c r="AA92" s="470"/>
      <c r="AB92" s="461"/>
      <c r="AC92" s="461"/>
      <c r="AD92" s="461"/>
      <c r="AE92" s="461"/>
      <c r="AF92" s="461"/>
      <c r="AG92" s="498"/>
      <c r="AH92" s="498"/>
      <c r="AI92" s="25"/>
      <c r="AJ92" s="25"/>
      <c r="AK92" s="25"/>
      <c r="AL92" s="25"/>
      <c r="AM92" s="25"/>
      <c r="AO92" s="387"/>
      <c r="AQ92" s="641">
        <v>1055</v>
      </c>
      <c r="AR92" t="s">
        <v>2215</v>
      </c>
      <c r="AS92" t="s">
        <v>2216</v>
      </c>
      <c r="AT92" t="s">
        <v>2177</v>
      </c>
      <c r="AU92" s="642">
        <v>3835724</v>
      </c>
    </row>
    <row r="93" spans="1:47" ht="13.3" thickTop="1" x14ac:dyDescent="0.35">
      <c r="A93" s="25"/>
      <c r="B93" s="25"/>
      <c r="C93" s="25"/>
      <c r="D93" s="25"/>
      <c r="E93" s="405"/>
      <c r="F93" s="25"/>
      <c r="G93" s="405"/>
      <c r="H93" s="25"/>
      <c r="I93" s="25"/>
      <c r="J93" s="405"/>
      <c r="K93" s="405"/>
      <c r="L93" s="405"/>
      <c r="M93" s="405"/>
      <c r="N93" s="405"/>
      <c r="O93" s="25"/>
      <c r="P93" s="405"/>
      <c r="Q93" s="25"/>
      <c r="R93" s="25"/>
      <c r="S93" s="481" t="s">
        <v>245</v>
      </c>
      <c r="T93" s="481"/>
      <c r="U93" s="481"/>
      <c r="V93" s="481"/>
      <c r="W93" s="481"/>
      <c r="X93" s="481">
        <f>COUNTIF(T100:X104,TRUE)</f>
        <v>0</v>
      </c>
      <c r="Y93" s="483" t="b">
        <f>AND(W94=1,W95=1,W96=1,W97=1)</f>
        <v>0</v>
      </c>
      <c r="Z93" s="484">
        <f>IF(U94,1,0)</f>
        <v>0</v>
      </c>
      <c r="AA93" s="485" t="str">
        <f>IF(Y93=TRUE,(1-X98/100),"")</f>
        <v/>
      </c>
      <c r="AB93" s="481" t="str">
        <f>IF(Y98=FALSE,"",IF(AE99&gt;0,"",IF(AA93&gt;=0.98,"DIAMOND MEDAL",IF(AA93&gt;=0.83,"PLATINUM MEDAL",IF(AA93&gt;=0.68,"GOLD MEDAL",IF(AA93&gt;=0.48,"YELLOW FLAG","RED FLAG"))))))</f>
        <v/>
      </c>
      <c r="AC93" s="481"/>
      <c r="AD93" s="481"/>
      <c r="AE93" s="481"/>
      <c r="AF93" s="481"/>
      <c r="AG93" s="459"/>
      <c r="AH93" s="459"/>
      <c r="AI93" s="25"/>
      <c r="AJ93" s="25"/>
      <c r="AK93" s="25"/>
      <c r="AL93" s="25"/>
      <c r="AM93" s="25"/>
      <c r="AO93" s="387">
        <f>SUM(AO64:AO91)</f>
        <v>10000</v>
      </c>
      <c r="AQ93" s="641">
        <v>1061</v>
      </c>
      <c r="AR93" t="s">
        <v>2217</v>
      </c>
      <c r="AS93" t="s">
        <v>2218</v>
      </c>
      <c r="AT93" t="s">
        <v>2177</v>
      </c>
      <c r="AU93" s="642">
        <v>3295410</v>
      </c>
    </row>
    <row r="94" spans="1:47" ht="13.3" thickBot="1" x14ac:dyDescent="0.4">
      <c r="A94" s="25"/>
      <c r="B94" s="25"/>
      <c r="C94" s="25"/>
      <c r="D94" s="25"/>
      <c r="E94" s="405"/>
      <c r="F94" s="25"/>
      <c r="G94" s="405"/>
      <c r="H94" s="25"/>
      <c r="I94" s="25"/>
      <c r="J94" s="405"/>
      <c r="K94" s="405"/>
      <c r="L94" s="405"/>
      <c r="M94" s="405"/>
      <c r="N94" s="405"/>
      <c r="O94" s="25"/>
      <c r="P94" s="405"/>
      <c r="Q94" s="25"/>
      <c r="R94" s="25">
        <v>0</v>
      </c>
      <c r="S94" s="459" t="s">
        <v>520</v>
      </c>
      <c r="T94" s="462" t="b">
        <f>IF(R94=1,TRUE,FALSE)</f>
        <v>0</v>
      </c>
      <c r="U94" s="462" t="b">
        <f>IF(R94=2,TRUE,FALSE)</f>
        <v>0</v>
      </c>
      <c r="V94" s="462" t="b">
        <f>IF(R94=3,TRUE,FALSE)</f>
        <v>0</v>
      </c>
      <c r="W94" s="466">
        <f>COUNTIF(T94:V94,TRUE)</f>
        <v>0</v>
      </c>
      <c r="X94" s="500">
        <f>IF(U94,33,0)</f>
        <v>0</v>
      </c>
      <c r="Y94" s="501" t="str">
        <f>IF(Y93=TRUE,1,"")</f>
        <v/>
      </c>
      <c r="Z94" s="502">
        <f t="shared" ref="Z94:AA96" si="46">IF(T94,1,0)</f>
        <v>0</v>
      </c>
      <c r="AA94" s="502">
        <f t="shared" si="46"/>
        <v>0</v>
      </c>
      <c r="AB94" s="470">
        <f>IF(Y97,1,0)</f>
        <v>1</v>
      </c>
      <c r="AC94" s="459"/>
      <c r="AD94" s="461">
        <f>IF(R94=1,1,IF(R94=2,1,0))</f>
        <v>0</v>
      </c>
      <c r="AE94" s="459"/>
      <c r="AF94" s="459"/>
      <c r="AG94" s="461"/>
      <c r="AH94" s="461"/>
      <c r="AI94" s="25"/>
      <c r="AJ94" s="25"/>
      <c r="AK94" s="25"/>
      <c r="AL94" s="25"/>
      <c r="AM94" s="25"/>
      <c r="AQ94" s="641">
        <v>1065</v>
      </c>
      <c r="AR94" t="s">
        <v>2219</v>
      </c>
      <c r="AS94" t="s">
        <v>2220</v>
      </c>
      <c r="AT94" t="s">
        <v>2177</v>
      </c>
      <c r="AU94" s="642">
        <v>5626790</v>
      </c>
    </row>
    <row r="95" spans="1:47" ht="13.3" thickTop="1" x14ac:dyDescent="0.35">
      <c r="A95" s="503" t="s">
        <v>565</v>
      </c>
      <c r="B95" s="25"/>
      <c r="C95" s="50" t="s">
        <v>569</v>
      </c>
      <c r="D95" s="25" t="s">
        <v>1912</v>
      </c>
      <c r="E95" s="405"/>
      <c r="F95" s="25"/>
      <c r="G95" s="405"/>
      <c r="H95" s="25"/>
      <c r="I95" s="25"/>
      <c r="J95" s="405"/>
      <c r="K95" s="405"/>
      <c r="L95" s="405"/>
      <c r="M95" s="405"/>
      <c r="N95" s="405"/>
      <c r="O95" s="25"/>
      <c r="P95" s="405"/>
      <c r="Q95" s="25"/>
      <c r="R95" s="25">
        <v>0</v>
      </c>
      <c r="S95" s="461" t="s">
        <v>521</v>
      </c>
      <c r="T95" s="462" t="b">
        <f>IF(R95=1,TRUE,FALSE)</f>
        <v>0</v>
      </c>
      <c r="U95" s="462" t="b">
        <f>IF(R95=2,TRUE,FALSE)</f>
        <v>0</v>
      </c>
      <c r="V95" s="462" t="b">
        <f>IF(R95=3,TRUE,FALSE)</f>
        <v>0</v>
      </c>
      <c r="W95" s="466">
        <f>COUNTIF(T95:V95,TRUE)</f>
        <v>0</v>
      </c>
      <c r="X95" s="500">
        <f>IF(U95,33,0)</f>
        <v>0</v>
      </c>
      <c r="Y95" s="462" t="b">
        <f>AND(U94=FALSE,U95=FALSE)</f>
        <v>1</v>
      </c>
      <c r="Z95" s="470">
        <f t="shared" si="46"/>
        <v>0</v>
      </c>
      <c r="AA95" s="470">
        <f t="shared" si="46"/>
        <v>0</v>
      </c>
      <c r="AB95" s="461">
        <f>IF(WC!H157="",0,IF(WC!I157="Explain the positions using contracted staff, approximate number of such staff; if 1099s and COIs are not used, explain why and for which staff.",1,0))</f>
        <v>0</v>
      </c>
      <c r="AC95" s="461">
        <f>SUM(AB95:AB98)</f>
        <v>0</v>
      </c>
      <c r="AD95" s="461">
        <f>IF(R95=1,1,IF(R95=2,1,0))</f>
        <v>0</v>
      </c>
      <c r="AE95" s="461"/>
      <c r="AF95" s="461"/>
      <c r="AG95" s="461"/>
      <c r="AH95" s="461"/>
      <c r="AI95" s="25"/>
      <c r="AJ95" s="25"/>
      <c r="AK95" s="25"/>
      <c r="AL95" s="25"/>
      <c r="AM95" s="25"/>
      <c r="AQ95" s="641">
        <v>1069</v>
      </c>
      <c r="AR95" t="s">
        <v>2221</v>
      </c>
      <c r="AS95" t="s">
        <v>2222</v>
      </c>
      <c r="AT95" t="s">
        <v>2177</v>
      </c>
      <c r="AU95" s="642">
        <v>6317026</v>
      </c>
    </row>
    <row r="96" spans="1:47" ht="12.9" x14ac:dyDescent="0.35">
      <c r="A96" s="504">
        <f>A65*0.25+A74*0.4+A82*0.25+A89*0.1</f>
        <v>0</v>
      </c>
      <c r="B96" s="25"/>
      <c r="C96" s="50" t="s">
        <v>570</v>
      </c>
      <c r="D96" s="25" t="s">
        <v>1913</v>
      </c>
      <c r="E96" s="405"/>
      <c r="F96" s="25"/>
      <c r="G96" s="405"/>
      <c r="H96" s="25"/>
      <c r="I96" s="25"/>
      <c r="J96" s="405"/>
      <c r="K96" s="405"/>
      <c r="L96" s="405"/>
      <c r="M96" s="405"/>
      <c r="N96" s="405"/>
      <c r="O96" s="25"/>
      <c r="P96" s="405"/>
      <c r="Q96" s="25"/>
      <c r="R96" s="25">
        <v>0</v>
      </c>
      <c r="S96" s="461" t="s">
        <v>522</v>
      </c>
      <c r="T96" s="462" t="b">
        <f>IF(R96=1,TRUE,FALSE)</f>
        <v>0</v>
      </c>
      <c r="U96" s="462" t="b">
        <f>IF(R96=2,TRUE,FALSE)</f>
        <v>0</v>
      </c>
      <c r="V96" s="462" t="b">
        <f>IF(R96=3,TRUE,FALSE)</f>
        <v>0</v>
      </c>
      <c r="W96" s="466">
        <f>COUNTIF(T96:V96,TRUE)</f>
        <v>0</v>
      </c>
      <c r="X96" s="500">
        <f>IF(U96,34,0)</f>
        <v>0</v>
      </c>
      <c r="Y96" s="462" t="b">
        <f>AND(Y93=TRUE,Y95=TRUE)</f>
        <v>0</v>
      </c>
      <c r="Z96" s="470">
        <f t="shared" si="46"/>
        <v>0</v>
      </c>
      <c r="AA96" s="470">
        <f t="shared" si="46"/>
        <v>0</v>
      </c>
      <c r="AB96" s="461">
        <f>IF(WC!H161="",0,IF(WC!I161="Explain the type and frequency of work contracted to others; if 1099s or COIs are not used, explain for which and why.",1,0))</f>
        <v>0</v>
      </c>
      <c r="AC96" s="461"/>
      <c r="AD96" s="461">
        <f>IF(R96=1,1,IF(R96=2,1,0))</f>
        <v>0</v>
      </c>
      <c r="AE96" s="461"/>
      <c r="AF96" s="461"/>
      <c r="AG96" s="461"/>
      <c r="AH96" s="461"/>
      <c r="AI96" s="25"/>
      <c r="AJ96" s="25"/>
      <c r="AK96" s="25"/>
      <c r="AL96" s="25"/>
      <c r="AM96" s="25"/>
      <c r="AQ96" s="641">
        <v>1086</v>
      </c>
      <c r="AR96" t="s">
        <v>2223</v>
      </c>
      <c r="AS96" t="s">
        <v>2224</v>
      </c>
      <c r="AT96" t="s">
        <v>2225</v>
      </c>
      <c r="AU96" s="642">
        <v>36292240</v>
      </c>
    </row>
    <row r="97" spans="1:47" ht="12.9" x14ac:dyDescent="0.35">
      <c r="A97" s="504">
        <f>A66*0.25+A75*0.4+A83*0.25+A90*0.1</f>
        <v>100</v>
      </c>
      <c r="B97" s="25"/>
      <c r="C97" s="50" t="s">
        <v>571</v>
      </c>
      <c r="D97" s="25" t="s">
        <v>1914</v>
      </c>
      <c r="E97" s="405"/>
      <c r="F97" s="25"/>
      <c r="G97" s="405"/>
      <c r="H97" s="25"/>
      <c r="I97" s="25"/>
      <c r="J97" s="405"/>
      <c r="K97" s="405"/>
      <c r="L97" s="405"/>
      <c r="M97" s="405"/>
      <c r="N97" s="405"/>
      <c r="O97" s="25"/>
      <c r="P97" s="405"/>
      <c r="Q97" s="25"/>
      <c r="R97" s="25">
        <v>0</v>
      </c>
      <c r="S97" s="461" t="s">
        <v>523</v>
      </c>
      <c r="T97" s="462" t="b">
        <f>IF(R97=1,TRUE,FALSE)</f>
        <v>0</v>
      </c>
      <c r="U97" s="462" t="b">
        <f>IF(R97=2,TRUE,FALSE)</f>
        <v>0</v>
      </c>
      <c r="V97" s="462" t="b">
        <f>IF(R97=3,TRUE,FALSE)</f>
        <v>0</v>
      </c>
      <c r="W97" s="466">
        <f>COUNTIF(T97:V97,TRUE)</f>
        <v>0</v>
      </c>
      <c r="X97" s="500">
        <f>IF(T97,-34,0)</f>
        <v>0</v>
      </c>
      <c r="Y97" s="473" t="b">
        <f>IF(AC95&gt;0,FALSE,TRUE)</f>
        <v>1</v>
      </c>
      <c r="Z97" s="470"/>
      <c r="AA97" s="470"/>
      <c r="AB97" s="461">
        <f>IF(WC!H165="",0,IF(WC!I165="Describe the volunteers and types of remuneration provided.",1,0))</f>
        <v>0</v>
      </c>
      <c r="AC97" s="461"/>
      <c r="AD97" s="461">
        <f>IF(R97=1,1,IF(R97=2,1,0))</f>
        <v>0</v>
      </c>
      <c r="AE97" s="461"/>
      <c r="AF97" s="461"/>
      <c r="AG97" s="461"/>
      <c r="AH97" s="461"/>
      <c r="AI97" s="25"/>
      <c r="AJ97" s="25"/>
      <c r="AK97" s="25"/>
      <c r="AL97" s="25"/>
      <c r="AM97" s="25"/>
      <c r="AQ97" s="641">
        <v>1111</v>
      </c>
      <c r="AR97" t="s">
        <v>2226</v>
      </c>
      <c r="AS97" t="s">
        <v>2227</v>
      </c>
      <c r="AT97" t="s">
        <v>2228</v>
      </c>
      <c r="AU97" s="642">
        <v>48253062</v>
      </c>
    </row>
    <row r="98" spans="1:47" ht="12.9" x14ac:dyDescent="0.35">
      <c r="A98" s="505" t="str">
        <f>IF(SUM(B64:B91)=4,A96/A97,"grade(s) missing")</f>
        <v>grade(s) missing</v>
      </c>
      <c r="B98" s="25"/>
      <c r="C98" s="50" t="s">
        <v>572</v>
      </c>
      <c r="D98" s="25" t="s">
        <v>1915</v>
      </c>
      <c r="E98" s="405"/>
      <c r="F98" s="25"/>
      <c r="G98" s="405"/>
      <c r="H98" s="25"/>
      <c r="I98" s="25"/>
      <c r="J98" s="405"/>
      <c r="K98" s="405"/>
      <c r="L98" s="405"/>
      <c r="M98" s="405"/>
      <c r="N98" s="405"/>
      <c r="O98" s="25"/>
      <c r="P98" s="405"/>
      <c r="Q98" s="25"/>
      <c r="R98" s="25"/>
      <c r="S98" s="461"/>
      <c r="T98" s="461"/>
      <c r="U98" s="461"/>
      <c r="V98" s="461"/>
      <c r="W98" s="461"/>
      <c r="X98" s="461">
        <f>IF(SUM(X93:X97)&lt;0,0,SUM(X93:X97))</f>
        <v>0</v>
      </c>
      <c r="Y98" s="475" t="b">
        <f>AND(Y93=TRUE,Y97=TRUE)</f>
        <v>0</v>
      </c>
      <c r="Z98" s="470"/>
      <c r="AA98" s="470">
        <f>X98</f>
        <v>0</v>
      </c>
      <c r="AB98" s="461">
        <f>IF(WC!H169="",0,IF(WC!I169="describe policy and the volunteers to which it applies",1,0))</f>
        <v>0</v>
      </c>
      <c r="AC98" s="461"/>
      <c r="AD98" s="461"/>
      <c r="AE98" s="461"/>
      <c r="AF98" s="461"/>
      <c r="AG98" s="461"/>
      <c r="AH98" s="461"/>
      <c r="AI98" s="25"/>
      <c r="AJ98" s="25"/>
      <c r="AK98" s="25"/>
      <c r="AL98" s="25"/>
      <c r="AM98" s="25"/>
      <c r="AQ98" s="641">
        <v>1160</v>
      </c>
      <c r="AR98" t="s">
        <v>2229</v>
      </c>
      <c r="AS98" t="s">
        <v>2230</v>
      </c>
      <c r="AT98" t="s">
        <v>2231</v>
      </c>
      <c r="AU98" s="642">
        <v>8581652</v>
      </c>
    </row>
    <row r="99" spans="1:47" ht="12.9" x14ac:dyDescent="0.35">
      <c r="A99" s="504" t="s">
        <v>1855</v>
      </c>
      <c r="B99" s="25"/>
      <c r="C99" s="50" t="s">
        <v>568</v>
      </c>
      <c r="D99" s="25" t="s">
        <v>1916</v>
      </c>
      <c r="E99" s="405"/>
      <c r="F99" s="25"/>
      <c r="G99" s="405"/>
      <c r="H99" s="25"/>
      <c r="I99" s="25"/>
      <c r="J99" s="405"/>
      <c r="K99" s="405"/>
      <c r="L99" s="405"/>
      <c r="M99" s="405"/>
      <c r="N99" s="405"/>
      <c r="O99" s="25"/>
      <c r="P99" s="405"/>
      <c r="Q99" s="25"/>
      <c r="R99" s="25"/>
      <c r="S99" s="461"/>
      <c r="T99" s="506" t="s">
        <v>530</v>
      </c>
      <c r="U99" s="507" t="s">
        <v>531</v>
      </c>
      <c r="V99" s="508" t="s">
        <v>532</v>
      </c>
      <c r="W99" s="508" t="s">
        <v>533</v>
      </c>
      <c r="X99" s="509" t="s">
        <v>534</v>
      </c>
      <c r="Y99" s="461"/>
      <c r="Z99" s="470"/>
      <c r="AA99" s="470"/>
      <c r="AB99" s="510" t="str">
        <f>IF(T99=TRUE,(1-(30*X96+10*#REF!+30*#REF!+2*Z102)/100)+(0.2*Y102*(30*X96+30*#REF!+2*Z102)/100)+(0.3*Y103*(30*X96+30*#REF!+2*Z102)/100),"")</f>
        <v/>
      </c>
      <c r="AC99" s="461"/>
      <c r="AD99" s="461"/>
      <c r="AE99" s="461"/>
      <c r="AF99" s="461"/>
      <c r="AQ99" s="641">
        <v>1177</v>
      </c>
      <c r="AR99" t="s">
        <v>2232</v>
      </c>
      <c r="AS99" t="s">
        <v>2233</v>
      </c>
      <c r="AT99" t="s">
        <v>2231</v>
      </c>
      <c r="AU99" s="642">
        <v>19029558</v>
      </c>
    </row>
    <row r="100" spans="1:47" ht="13.3" thickBot="1" x14ac:dyDescent="0.4">
      <c r="A100" s="511" t="str">
        <f>IF(A98="grade(s) missing","",IF(A99=2,"RED FLAG",IF(A98&gt;=0.98,"DIAMOND MEDAL",IF(A98&gt;=0.83,"PLATINUM MEDAL",IF(A98&gt;=0.68,"GOLD MEDAL",IF(A98&gt;=0.48,"YELLOW FLAG","RED FLAG"))))))</f>
        <v/>
      </c>
      <c r="B100" s="25"/>
      <c r="C100" s="50"/>
      <c r="D100" s="25"/>
      <c r="E100" s="405"/>
      <c r="F100" s="25"/>
      <c r="G100" s="405"/>
      <c r="H100" s="25"/>
      <c r="I100" s="25"/>
      <c r="J100" s="405"/>
      <c r="K100" s="405"/>
      <c r="L100" s="405"/>
      <c r="M100" s="405"/>
      <c r="N100" s="405"/>
      <c r="O100" s="25"/>
      <c r="P100" s="405"/>
      <c r="Q100" s="25"/>
      <c r="R100" s="25"/>
      <c r="S100" s="461"/>
      <c r="T100" s="512" t="b">
        <v>0</v>
      </c>
      <c r="U100" s="513" t="b">
        <v>0</v>
      </c>
      <c r="V100" s="513" t="b">
        <v>0</v>
      </c>
      <c r="W100" s="514" t="b">
        <v>0</v>
      </c>
      <c r="X100" s="515" t="b">
        <v>0</v>
      </c>
      <c r="AN100" s="25"/>
      <c r="AQ100" s="641">
        <v>1193</v>
      </c>
      <c r="AR100" t="s">
        <v>2234</v>
      </c>
      <c r="AS100" t="s">
        <v>2235</v>
      </c>
      <c r="AT100" t="s">
        <v>2231</v>
      </c>
      <c r="AU100" s="642">
        <v>23593219</v>
      </c>
    </row>
    <row r="101" spans="1:47" ht="13.3" thickTop="1" x14ac:dyDescent="0.35">
      <c r="A101" s="25" t="b">
        <f>ISNUMBER(A98)</f>
        <v>0</v>
      </c>
      <c r="B101" s="25"/>
      <c r="C101" s="25"/>
      <c r="D101" s="25"/>
      <c r="E101" s="405"/>
      <c r="F101" s="25"/>
      <c r="G101" s="405"/>
      <c r="H101" s="25"/>
      <c r="I101" s="25"/>
      <c r="J101" s="405"/>
      <c r="K101" s="405"/>
      <c r="L101" s="405"/>
      <c r="M101" s="405"/>
      <c r="N101" s="405"/>
      <c r="O101" s="25"/>
      <c r="P101" s="405"/>
      <c r="Q101" s="25"/>
      <c r="R101" s="25"/>
      <c r="S101" s="461" t="s">
        <v>537</v>
      </c>
      <c r="T101" s="516" t="s">
        <v>535</v>
      </c>
      <c r="U101" s="517" t="s">
        <v>807</v>
      </c>
      <c r="V101" s="517" t="s">
        <v>536</v>
      </c>
      <c r="W101" s="517" t="s">
        <v>524</v>
      </c>
      <c r="X101" s="518" t="s">
        <v>525</v>
      </c>
      <c r="AN101" s="25"/>
      <c r="AQ101" s="641">
        <v>1201</v>
      </c>
      <c r="AR101" t="s">
        <v>2236</v>
      </c>
      <c r="AS101" t="s">
        <v>2237</v>
      </c>
      <c r="AT101" t="s">
        <v>2231</v>
      </c>
      <c r="AU101" s="642">
        <v>1381105</v>
      </c>
    </row>
    <row r="102" spans="1:47" ht="12.9" x14ac:dyDescent="0.35">
      <c r="A102" s="405"/>
      <c r="B102" s="25"/>
      <c r="C102" s="25"/>
      <c r="D102" s="25"/>
      <c r="E102" s="377"/>
      <c r="F102" s="25"/>
      <c r="H102" s="25"/>
      <c r="I102" s="405" t="b">
        <f>ISNUMBER(A67)</f>
        <v>0</v>
      </c>
      <c r="J102" s="405"/>
      <c r="K102" s="375" t="s">
        <v>538</v>
      </c>
      <c r="L102" s="405">
        <f>SUM(H64:H70)-M102</f>
        <v>-7</v>
      </c>
      <c r="M102" s="405">
        <f>AB65+AB72+AB80+AB88+AB94+AB107+AB120</f>
        <v>7</v>
      </c>
      <c r="N102" s="405"/>
      <c r="O102" s="25"/>
      <c r="P102" s="405"/>
      <c r="Q102" s="25"/>
      <c r="R102" s="25"/>
      <c r="S102" s="461"/>
      <c r="T102" s="512" t="b">
        <v>0</v>
      </c>
      <c r="U102" s="514" t="b">
        <v>0</v>
      </c>
      <c r="V102" s="514" t="b">
        <v>0</v>
      </c>
      <c r="W102" s="514" t="b">
        <v>0</v>
      </c>
      <c r="X102" s="515" t="b">
        <v>0</v>
      </c>
      <c r="Y102" s="462"/>
      <c r="Z102" s="463"/>
      <c r="AA102" s="519"/>
      <c r="AB102" s="461"/>
      <c r="AC102" s="461"/>
      <c r="AD102" s="461"/>
      <c r="AE102" s="461"/>
      <c r="AF102" s="461"/>
      <c r="AG102" s="461"/>
      <c r="AH102" s="461"/>
      <c r="AI102" s="25"/>
      <c r="AJ102" s="25"/>
      <c r="AK102" s="25"/>
      <c r="AL102" s="25"/>
      <c r="AM102" s="25"/>
      <c r="AN102" s="25"/>
      <c r="AQ102" s="641">
        <v>1209</v>
      </c>
      <c r="AR102" t="s">
        <v>2238</v>
      </c>
      <c r="AS102" t="s">
        <v>2239</v>
      </c>
      <c r="AT102" t="s">
        <v>2231</v>
      </c>
      <c r="AU102" s="642">
        <v>3580731</v>
      </c>
    </row>
    <row r="103" spans="1:47" ht="12.9" x14ac:dyDescent="0.35">
      <c r="A103" s="25"/>
      <c r="B103" s="25"/>
      <c r="D103" s="25"/>
      <c r="E103" s="405"/>
      <c r="F103" s="25"/>
      <c r="H103" s="25"/>
      <c r="I103" s="405" t="b">
        <f>ISNUMBER(A76)</f>
        <v>0</v>
      </c>
      <c r="J103" s="405"/>
      <c r="K103" s="375" t="s">
        <v>539</v>
      </c>
      <c r="L103" s="405">
        <f>SUM(H73:H78)</f>
        <v>0</v>
      </c>
      <c r="M103" s="405"/>
      <c r="N103" s="405"/>
      <c r="O103" s="25"/>
      <c r="P103" s="405"/>
      <c r="Q103" s="25"/>
      <c r="R103" s="25"/>
      <c r="S103" s="461"/>
      <c r="T103" s="520" t="s">
        <v>526</v>
      </c>
      <c r="U103" s="521" t="s">
        <v>527</v>
      </c>
      <c r="V103" s="521">
        <v>8810</v>
      </c>
      <c r="W103" s="521" t="s">
        <v>528</v>
      </c>
      <c r="X103" s="522" t="s">
        <v>529</v>
      </c>
      <c r="Y103" s="462"/>
      <c r="Z103" s="470"/>
      <c r="AA103" s="519"/>
      <c r="AB103" s="461"/>
      <c r="AC103" s="461"/>
      <c r="AD103" s="461"/>
      <c r="AE103" s="461"/>
      <c r="AF103" s="461"/>
      <c r="AG103" s="461"/>
      <c r="AH103" s="461"/>
      <c r="AI103" s="25"/>
      <c r="AJ103" s="25"/>
      <c r="AK103" s="25"/>
      <c r="AL103" s="25"/>
      <c r="AM103" s="25"/>
      <c r="AN103" s="25"/>
      <c r="AQ103" s="641">
        <v>1216</v>
      </c>
      <c r="AR103" t="s">
        <v>2240</v>
      </c>
      <c r="AS103" t="s">
        <v>2241</v>
      </c>
      <c r="AT103" t="s">
        <v>2231</v>
      </c>
      <c r="AU103" s="642">
        <v>3016165</v>
      </c>
    </row>
    <row r="104" spans="1:47" ht="12.9" x14ac:dyDescent="0.35">
      <c r="B104" s="25"/>
      <c r="D104" s="25"/>
      <c r="E104" s="405"/>
      <c r="F104" s="25"/>
      <c r="H104" s="25"/>
      <c r="I104" s="405" t="b">
        <f>ISNUMBER(A84)</f>
        <v>0</v>
      </c>
      <c r="J104" s="405"/>
      <c r="K104" s="375" t="s">
        <v>540</v>
      </c>
      <c r="L104" s="405">
        <f>SUM(H81:H85)</f>
        <v>0</v>
      </c>
      <c r="M104" s="405"/>
      <c r="N104" s="405"/>
      <c r="O104" s="25"/>
      <c r="P104" s="405"/>
      <c r="Q104" s="25"/>
      <c r="R104" s="25"/>
      <c r="S104" s="461"/>
      <c r="T104" s="523" t="b">
        <v>0</v>
      </c>
      <c r="U104" s="524" t="b">
        <v>0</v>
      </c>
      <c r="V104" s="524" t="b">
        <v>0</v>
      </c>
      <c r="W104" s="524" t="b">
        <v>0</v>
      </c>
      <c r="X104" s="525" t="b">
        <v>0</v>
      </c>
      <c r="Y104" s="460"/>
      <c r="Z104" s="470"/>
      <c r="AA104" s="470"/>
      <c r="AB104" s="461"/>
      <c r="AC104" s="461"/>
      <c r="AD104" s="461"/>
      <c r="AE104" s="461"/>
      <c r="AF104" s="461"/>
      <c r="AG104" s="461"/>
      <c r="AH104" s="461"/>
      <c r="AI104" s="25"/>
      <c r="AJ104" s="25"/>
      <c r="AK104" s="25"/>
      <c r="AL104" s="25"/>
      <c r="AM104" s="25"/>
      <c r="AN104" s="25"/>
      <c r="AQ104" s="641">
        <v>1217</v>
      </c>
      <c r="AR104" t="s">
        <v>2242</v>
      </c>
      <c r="AS104" t="s">
        <v>2243</v>
      </c>
      <c r="AT104" t="s">
        <v>2231</v>
      </c>
      <c r="AU104" s="642">
        <v>30812038</v>
      </c>
    </row>
    <row r="105" spans="1:47" ht="12.9" x14ac:dyDescent="0.35">
      <c r="A105" s="25"/>
      <c r="B105" s="25"/>
      <c r="C105" s="526" t="s">
        <v>560</v>
      </c>
      <c r="D105" s="25">
        <f>IF(WC!J269="describe corrective action needed for any Red Flag or Yellow Flag ranking",0,1)</f>
        <v>1</v>
      </c>
      <c r="E105" s="81"/>
      <c r="F105" s="25"/>
      <c r="H105" s="25"/>
      <c r="I105" s="405" t="b">
        <f>ISNUMBER(A91)</f>
        <v>0</v>
      </c>
      <c r="J105" s="405"/>
      <c r="K105" s="375" t="s">
        <v>541</v>
      </c>
      <c r="L105" s="405">
        <f>SUM(H88:H91)</f>
        <v>0</v>
      </c>
      <c r="M105" s="405"/>
      <c r="N105" s="405"/>
      <c r="O105" s="25"/>
      <c r="P105" s="405"/>
      <c r="Q105" s="25"/>
      <c r="R105" s="25"/>
      <c r="S105" s="461"/>
      <c r="T105" s="461"/>
      <c r="U105" s="461"/>
      <c r="V105" s="461"/>
      <c r="W105" s="461"/>
      <c r="X105" s="461"/>
      <c r="Y105" s="473"/>
      <c r="Z105" s="470"/>
      <c r="AA105" s="470"/>
      <c r="AB105" s="461"/>
      <c r="AC105" s="461"/>
      <c r="AD105" s="461"/>
      <c r="AE105" s="461"/>
      <c r="AF105" s="461"/>
      <c r="AG105" s="498"/>
      <c r="AH105" s="498"/>
      <c r="AI105" s="25"/>
      <c r="AJ105" s="25"/>
      <c r="AK105" s="25"/>
      <c r="AL105" s="25"/>
      <c r="AM105" s="25"/>
      <c r="AN105" s="25"/>
      <c r="AQ105" s="641">
        <v>1240</v>
      </c>
      <c r="AR105" t="s">
        <v>2244</v>
      </c>
      <c r="AS105" t="s">
        <v>2245</v>
      </c>
      <c r="AT105" t="s">
        <v>2231</v>
      </c>
      <c r="AU105" s="642">
        <v>1864961</v>
      </c>
    </row>
    <row r="106" spans="1:47" ht="12.9" x14ac:dyDescent="0.35">
      <c r="B106" s="25"/>
      <c r="C106" s="526" t="s">
        <v>559</v>
      </c>
      <c r="D106" s="25">
        <f>IF(WC!J285="describe corrective action needed for any Red Flag or Yellow Flag ranking",0,1)</f>
        <v>1</v>
      </c>
      <c r="E106" s="405"/>
      <c r="F106" s="25"/>
      <c r="G106" s="405"/>
      <c r="H106" s="25"/>
      <c r="I106" s="25"/>
      <c r="J106" s="405"/>
      <c r="K106" s="405"/>
      <c r="L106" s="405"/>
      <c r="M106" s="405"/>
      <c r="N106" s="405"/>
      <c r="O106" s="25"/>
      <c r="P106" s="405"/>
      <c r="Q106" s="25"/>
      <c r="R106" s="25"/>
      <c r="S106" s="461" t="s">
        <v>542</v>
      </c>
      <c r="T106" s="461"/>
      <c r="U106" s="461"/>
      <c r="V106" s="461"/>
      <c r="W106" s="461"/>
      <c r="X106" s="461"/>
      <c r="Y106" s="462" t="b">
        <f>AND(W107=1,W108=1,W110=1,W111=1,W112=1,W113=1,W114=1)</f>
        <v>0</v>
      </c>
      <c r="Z106" s="484">
        <f>(COUNTIF(U107:U117,TRUE))</f>
        <v>0</v>
      </c>
      <c r="AA106" s="485" t="str">
        <f>IF(Y106=TRUE,(1-(SUM(X107:X117)/100)),"")</f>
        <v/>
      </c>
      <c r="AB106" s="481" t="str">
        <f>IF(Y111=FALSE,"",IF(AE112&gt;0,"",IF(AA106&gt;=0.98,"DIAMOND MEDAL",IF(AA106&gt;=0.83,"PLATINUM MEDAL",IF(AA106&gt;=0.68,"GOLD MEDAL",IF(AA106&gt;=0.48,"YELLOW FLAG","RED FLAG"))))))</f>
        <v/>
      </c>
      <c r="AC106" s="481"/>
      <c r="AD106" s="481"/>
      <c r="AE106" s="481"/>
      <c r="AF106" s="481"/>
      <c r="AG106" s="461"/>
      <c r="AH106" s="461"/>
      <c r="AI106" s="25"/>
      <c r="AJ106" s="25"/>
      <c r="AK106" s="25"/>
      <c r="AL106" s="25"/>
      <c r="AM106" s="25"/>
      <c r="AN106" s="25"/>
      <c r="AQ106" s="641">
        <v>1241</v>
      </c>
      <c r="AR106" t="s">
        <v>2246</v>
      </c>
      <c r="AS106" t="s">
        <v>2247</v>
      </c>
      <c r="AT106" t="s">
        <v>2231</v>
      </c>
      <c r="AU106" s="642">
        <v>5458474</v>
      </c>
    </row>
    <row r="107" spans="1:47" ht="12.9" x14ac:dyDescent="0.35">
      <c r="A107" s="25"/>
      <c r="B107" s="25"/>
      <c r="C107" s="526" t="s">
        <v>558</v>
      </c>
      <c r="D107" s="25">
        <f>IF(WC!J301="describe corrective action needed for any Red Flag or Yellow Flag ranking",0,1)</f>
        <v>1</v>
      </c>
      <c r="E107" s="405"/>
      <c r="F107" s="25"/>
      <c r="G107" s="405"/>
      <c r="H107" s="25"/>
      <c r="I107" s="25"/>
      <c r="J107" s="405"/>
      <c r="K107" s="405"/>
      <c r="L107" s="405"/>
      <c r="M107" s="405"/>
      <c r="N107" s="405"/>
      <c r="O107" s="25"/>
      <c r="P107" s="405"/>
      <c r="Q107" s="461">
        <f t="shared" ref="Q107:Q114" si="47">IF(R107=1,1,IF(R107=2,1,0))</f>
        <v>0</v>
      </c>
      <c r="R107" s="25">
        <v>0</v>
      </c>
      <c r="S107" s="461" t="s">
        <v>543</v>
      </c>
      <c r="T107" s="462" t="b">
        <f t="shared" ref="T107:T114" si="48">IF(R107=1,TRUE,FALSE)</f>
        <v>0</v>
      </c>
      <c r="U107" s="462" t="b">
        <f t="shared" ref="U107:U114" si="49">IF(R107=2,TRUE,FALSE)</f>
        <v>0</v>
      </c>
      <c r="V107" s="462" t="b">
        <f>IF(R107=3,TRUE,FALSE)</f>
        <v>0</v>
      </c>
      <c r="W107" s="466">
        <f>COUNTIF(T107:V107,TRUE)</f>
        <v>0</v>
      </c>
      <c r="X107" s="466">
        <f>IF(T107,2,IF(U107,10,0))</f>
        <v>0</v>
      </c>
      <c r="Y107" s="473" t="str">
        <f>IF(Y106=TRUE,1,"")</f>
        <v/>
      </c>
      <c r="Z107" s="502">
        <f>IF(T107,1,0)</f>
        <v>0</v>
      </c>
      <c r="AA107" s="502">
        <f>IF(U107,1,0)</f>
        <v>0</v>
      </c>
      <c r="AB107" s="470">
        <f>IF(Y110,1,0)</f>
        <v>1</v>
      </c>
      <c r="AC107" s="461"/>
      <c r="AD107" s="461">
        <f t="shared" ref="AD107:AD114" si="50">IF(R107=1,1,IF(R107=2,1,0))</f>
        <v>0</v>
      </c>
      <c r="AE107" s="461"/>
      <c r="AF107" s="461"/>
      <c r="AG107" s="461"/>
      <c r="AH107" s="461"/>
      <c r="AI107" s="25"/>
      <c r="AJ107" s="25"/>
      <c r="AK107" s="25"/>
      <c r="AL107" s="25"/>
      <c r="AM107" s="25"/>
      <c r="AN107" s="25"/>
      <c r="AQ107" s="641">
        <v>1242</v>
      </c>
      <c r="AR107" t="s">
        <v>2248</v>
      </c>
      <c r="AS107" t="s">
        <v>2249</v>
      </c>
      <c r="AT107" t="s">
        <v>2231</v>
      </c>
      <c r="AU107" s="642">
        <v>1191652</v>
      </c>
    </row>
    <row r="108" spans="1:47" ht="12.9" x14ac:dyDescent="0.35">
      <c r="A108" s="25"/>
      <c r="B108" s="25"/>
      <c r="C108" s="526" t="s">
        <v>557</v>
      </c>
      <c r="D108" s="25">
        <f>IF(WC!J317="describe corrective action needed for any Red Flag or Yellow Flag ranking",0,1)</f>
        <v>1</v>
      </c>
      <c r="E108" s="405"/>
      <c r="F108" s="25"/>
      <c r="G108" s="405"/>
      <c r="H108" s="25"/>
      <c r="I108" s="25"/>
      <c r="J108" s="405"/>
      <c r="K108" s="405"/>
      <c r="L108" s="405"/>
      <c r="M108" s="405"/>
      <c r="N108" s="405"/>
      <c r="O108" s="25"/>
      <c r="P108" s="405"/>
      <c r="Q108" s="461">
        <f t="shared" si="47"/>
        <v>0</v>
      </c>
      <c r="R108" s="25">
        <v>0</v>
      </c>
      <c r="S108" s="461" t="s">
        <v>544</v>
      </c>
      <c r="T108" s="462" t="b">
        <f t="shared" si="48"/>
        <v>0</v>
      </c>
      <c r="U108" s="462" t="b">
        <f t="shared" si="49"/>
        <v>0</v>
      </c>
      <c r="V108" s="462" t="b">
        <f>IF(R108=3,TRUE,FALSE)</f>
        <v>0</v>
      </c>
      <c r="W108" s="466">
        <f>COUNTIF(T108:V108,TRUE)</f>
        <v>0</v>
      </c>
      <c r="X108" s="466">
        <f>IF(T108,4,IF(U108,16,0))</f>
        <v>0</v>
      </c>
      <c r="Y108" s="462" t="b">
        <f>AND(U107=FALSE,U108=FALSE,U110=FALSE,U111=FALSE,U112=FALSE,U113=FALSE,U114=FALSE)</f>
        <v>1</v>
      </c>
      <c r="Z108" s="502">
        <f>IF(T108,1,0)</f>
        <v>0</v>
      </c>
      <c r="AA108" s="502">
        <f>IF(U108,1,0)</f>
        <v>0</v>
      </c>
      <c r="AB108" s="461">
        <f>IF(WC!H196="",0,IF(WC!I196="Briefly describe type, extent, and frequency of cooking; major equipment; # of employees.",1,0))</f>
        <v>0</v>
      </c>
      <c r="AC108" s="461">
        <f>SUM(AB108:AB114)</f>
        <v>0</v>
      </c>
      <c r="AD108" s="461">
        <f t="shared" si="50"/>
        <v>0</v>
      </c>
      <c r="AE108" s="461"/>
      <c r="AF108" s="461"/>
      <c r="AG108" s="461"/>
      <c r="AH108" s="461"/>
      <c r="AI108" s="25"/>
      <c r="AJ108" s="25"/>
      <c r="AK108" s="25"/>
      <c r="AL108" s="25"/>
      <c r="AM108" s="25"/>
      <c r="AN108" s="25"/>
      <c r="AQ108" s="641">
        <v>1245</v>
      </c>
      <c r="AR108" t="s">
        <v>2250</v>
      </c>
      <c r="AS108" t="s">
        <v>2251</v>
      </c>
      <c r="AT108" t="s">
        <v>2231</v>
      </c>
      <c r="AU108" s="642">
        <v>15102131</v>
      </c>
    </row>
    <row r="109" spans="1:47" ht="12.9" x14ac:dyDescent="0.35">
      <c r="A109" s="25"/>
      <c r="B109" s="25"/>
      <c r="C109" s="375" t="s">
        <v>556</v>
      </c>
      <c r="D109" s="25">
        <f>IF(WC!J333="describe corrective action needed for any Red Flag or Yellow Flag ranking",0,1)</f>
        <v>1</v>
      </c>
      <c r="E109" s="405"/>
      <c r="F109" s="25"/>
      <c r="G109" s="405"/>
      <c r="H109" s="25"/>
      <c r="I109" s="25"/>
      <c r="J109" s="405"/>
      <c r="K109" s="405"/>
      <c r="L109" s="405"/>
      <c r="M109" s="405"/>
      <c r="N109" s="405"/>
      <c r="O109" s="25"/>
      <c r="P109" s="405"/>
      <c r="Q109" s="461">
        <f t="shared" si="47"/>
        <v>0</v>
      </c>
      <c r="R109" s="81">
        <v>0</v>
      </c>
      <c r="S109" s="461" t="s">
        <v>806</v>
      </c>
      <c r="T109" s="462" t="b">
        <f t="shared" si="48"/>
        <v>0</v>
      </c>
      <c r="U109" s="462" t="b">
        <f t="shared" si="49"/>
        <v>0</v>
      </c>
      <c r="W109" s="386">
        <f>IF(V108,1,Q109)</f>
        <v>0</v>
      </c>
      <c r="X109" s="527">
        <f>IF(U109,4,0)</f>
        <v>0</v>
      </c>
      <c r="Y109" s="462" t="b">
        <f>AND(Y106=TRUE,Y108=TRUE)</f>
        <v>0</v>
      </c>
      <c r="Z109" s="502">
        <f t="shared" ref="Z109:AA111" si="51">IF(T110,1,0)</f>
        <v>0</v>
      </c>
      <c r="AA109" s="502">
        <f t="shared" si="51"/>
        <v>0</v>
      </c>
      <c r="AB109" s="461"/>
      <c r="AC109" s="459"/>
      <c r="AD109" s="461">
        <f t="shared" si="50"/>
        <v>0</v>
      </c>
      <c r="AE109" s="461"/>
      <c r="AF109" s="461"/>
      <c r="AG109" s="461"/>
      <c r="AH109" s="461"/>
      <c r="AI109" s="25"/>
      <c r="AJ109" s="25"/>
      <c r="AK109" s="25"/>
      <c r="AL109" s="25"/>
      <c r="AM109" s="25"/>
      <c r="AN109" s="25"/>
      <c r="AQ109" s="641">
        <v>1283</v>
      </c>
      <c r="AR109" t="s">
        <v>2252</v>
      </c>
      <c r="AS109" t="s">
        <v>2253</v>
      </c>
      <c r="AT109" t="s">
        <v>2231</v>
      </c>
      <c r="AU109" s="642">
        <v>5625429</v>
      </c>
    </row>
    <row r="110" spans="1:47" ht="12.9" x14ac:dyDescent="0.35">
      <c r="A110" s="25"/>
      <c r="B110" s="25"/>
      <c r="C110" s="375" t="s">
        <v>555</v>
      </c>
      <c r="D110" s="25">
        <f>IF(WC!J351="describe corrective action needed for any Red Flag or Yellow Flag ranking",0,1)</f>
        <v>1</v>
      </c>
      <c r="E110" s="405"/>
      <c r="F110" s="25"/>
      <c r="G110" s="405"/>
      <c r="H110" s="25"/>
      <c r="I110" s="25"/>
      <c r="J110" s="405"/>
      <c r="K110" s="405"/>
      <c r="L110" s="405"/>
      <c r="M110" s="405"/>
      <c r="N110" s="405"/>
      <c r="O110" s="25"/>
      <c r="P110" s="405"/>
      <c r="Q110" s="461">
        <f t="shared" si="47"/>
        <v>0</v>
      </c>
      <c r="R110" s="25">
        <v>0</v>
      </c>
      <c r="S110" s="461" t="s">
        <v>545</v>
      </c>
      <c r="T110" s="462" t="b">
        <f t="shared" si="48"/>
        <v>0</v>
      </c>
      <c r="U110" s="462" t="b">
        <f t="shared" si="49"/>
        <v>0</v>
      </c>
      <c r="V110" s="462" t="b">
        <f>IF(R110=3,TRUE,FALSE)</f>
        <v>0</v>
      </c>
      <c r="W110" s="466">
        <f>COUNTIF(T110:V110,TRUE)</f>
        <v>0</v>
      </c>
      <c r="X110" s="466">
        <f>IF(T110,2,IF(U110,10,0))</f>
        <v>0</v>
      </c>
      <c r="Y110" s="473" t="b">
        <f>IF(AC108&gt;0,FALSE,TRUE)</f>
        <v>1</v>
      </c>
      <c r="Z110" s="502">
        <f t="shared" si="51"/>
        <v>0</v>
      </c>
      <c r="AA110" s="502">
        <f t="shared" si="51"/>
        <v>0</v>
      </c>
      <c r="AB110" s="461">
        <f>IF(WC!H202="",0,IF(WC!I202="# employees, training?",1,0))</f>
        <v>0</v>
      </c>
      <c r="AC110" s="459"/>
      <c r="AD110" s="461">
        <f t="shared" si="50"/>
        <v>0</v>
      </c>
      <c r="AE110" s="461"/>
      <c r="AF110" s="461"/>
      <c r="AG110" s="461"/>
      <c r="AH110" s="461"/>
      <c r="AI110" s="25"/>
      <c r="AJ110" s="25"/>
      <c r="AK110" s="25"/>
      <c r="AL110" s="25"/>
      <c r="AM110" s="25"/>
      <c r="AN110" s="25"/>
      <c r="AQ110" s="641">
        <v>1285</v>
      </c>
      <c r="AR110" t="s">
        <v>2254</v>
      </c>
      <c r="AS110" t="s">
        <v>2255</v>
      </c>
      <c r="AT110" t="s">
        <v>2231</v>
      </c>
      <c r="AU110" s="642">
        <v>64630363</v>
      </c>
    </row>
    <row r="111" spans="1:47" ht="12.9" x14ac:dyDescent="0.35">
      <c r="A111" s="25"/>
      <c r="B111" s="25"/>
      <c r="C111" s="375" t="s">
        <v>554</v>
      </c>
      <c r="D111" s="25">
        <f>IF(WC!J371="describe corrective action needed for any Red Flag or Yellow Flag ranking",0,1)</f>
        <v>1</v>
      </c>
      <c r="E111" s="81"/>
      <c r="F111" s="25"/>
      <c r="G111" s="405"/>
      <c r="H111" s="25"/>
      <c r="I111" s="25"/>
      <c r="J111" s="405"/>
      <c r="K111" s="405"/>
      <c r="L111" s="405"/>
      <c r="M111" s="405"/>
      <c r="N111" s="405"/>
      <c r="O111" s="25"/>
      <c r="P111" s="405"/>
      <c r="Q111" s="461">
        <f t="shared" si="47"/>
        <v>0</v>
      </c>
      <c r="R111" s="25">
        <v>0</v>
      </c>
      <c r="S111" s="461" t="s">
        <v>546</v>
      </c>
      <c r="T111" s="462" t="b">
        <f t="shared" si="48"/>
        <v>0</v>
      </c>
      <c r="U111" s="462" t="b">
        <f t="shared" si="49"/>
        <v>0</v>
      </c>
      <c r="V111" s="462" t="b">
        <f>IF(R111=3,TRUE,FALSE)</f>
        <v>0</v>
      </c>
      <c r="W111" s="466">
        <f>COUNTIF(T111:V111,TRUE)</f>
        <v>0</v>
      </c>
      <c r="X111" s="466">
        <f>IF(T111,2,IF(U111,10,0))</f>
        <v>0</v>
      </c>
      <c r="Y111" s="475" t="b">
        <f>AND(Y106=TRUE,Y110=TRUE)</f>
        <v>0</v>
      </c>
      <c r="Z111" s="502">
        <f t="shared" si="51"/>
        <v>0</v>
      </c>
      <c r="AA111" s="502">
        <f t="shared" si="51"/>
        <v>0</v>
      </c>
      <c r="AB111" s="461">
        <f>IF(WC!H206="",0,IF(WC!I206="Specify weapon(s); if .22, specify ammunition (short, long, long rifle); if pellet guns, are they single pump or gas cylinder; # employees, training?",1,0))</f>
        <v>0</v>
      </c>
      <c r="AC111" s="459"/>
      <c r="AD111" s="461">
        <f t="shared" si="50"/>
        <v>0</v>
      </c>
      <c r="AE111" s="461"/>
      <c r="AF111" s="461"/>
      <c r="AG111" s="461"/>
      <c r="AH111" s="461"/>
      <c r="AI111" s="25"/>
      <c r="AJ111" s="25"/>
      <c r="AK111" s="25"/>
      <c r="AL111" s="25"/>
      <c r="AM111" s="25"/>
      <c r="AN111" s="25"/>
      <c r="AQ111" s="641">
        <v>1290</v>
      </c>
      <c r="AR111" t="s">
        <v>2256</v>
      </c>
      <c r="AS111" t="s">
        <v>2257</v>
      </c>
      <c r="AT111" t="s">
        <v>2231</v>
      </c>
      <c r="AU111" s="642">
        <v>606596</v>
      </c>
    </row>
    <row r="112" spans="1:47" ht="12.9" x14ac:dyDescent="0.35">
      <c r="A112" s="25"/>
      <c r="B112" s="25"/>
      <c r="C112" s="375" t="s">
        <v>553</v>
      </c>
      <c r="D112" s="25">
        <f>IF(WC!J387="describe corrective action needed for any Red Flag or Yellow Flag ranking",0,1)</f>
        <v>1</v>
      </c>
      <c r="E112" s="405"/>
      <c r="F112" s="25"/>
      <c r="G112" s="405"/>
      <c r="H112" s="25"/>
      <c r="I112" s="25"/>
      <c r="J112" s="405"/>
      <c r="K112" s="405"/>
      <c r="L112" s="405"/>
      <c r="M112" s="405"/>
      <c r="N112" s="405"/>
      <c r="O112" s="25"/>
      <c r="P112" s="405"/>
      <c r="Q112" s="461">
        <f t="shared" si="47"/>
        <v>0</v>
      </c>
      <c r="R112" s="25">
        <v>0</v>
      </c>
      <c r="S112" s="461" t="s">
        <v>547</v>
      </c>
      <c r="T112" s="462" t="b">
        <f t="shared" si="48"/>
        <v>0</v>
      </c>
      <c r="U112" s="462" t="b">
        <f t="shared" si="49"/>
        <v>0</v>
      </c>
      <c r="V112" s="462" t="b">
        <f>IF(R112=3,TRUE,FALSE)</f>
        <v>0</v>
      </c>
      <c r="W112" s="466">
        <f>COUNTIF(T112:V112,TRUE)</f>
        <v>0</v>
      </c>
      <c r="X112" s="466">
        <f>IF(T112,8,IF(U112,20,0))</f>
        <v>0</v>
      </c>
      <c r="Y112" s="462"/>
      <c r="Z112" s="502">
        <f>IF(T113,1,0)</f>
        <v>0</v>
      </c>
      <c r="AA112" s="502">
        <f>IF(U113,1,0)</f>
        <v>0</v>
      </c>
      <c r="AB112" s="461">
        <f>IF(WC!H210="",0,IF(WC!I210="Describe exposure, number and type of animals, number of employees, training, seasonal or year-around, activities; if by vendor, so note; list deficiencies in the box below comments.",1,0))</f>
        <v>0</v>
      </c>
      <c r="AC112" s="459"/>
      <c r="AD112" s="461">
        <f t="shared" si="50"/>
        <v>0</v>
      </c>
      <c r="AE112" s="461"/>
      <c r="AF112" s="461"/>
      <c r="AG112" s="461"/>
      <c r="AH112" s="461"/>
      <c r="AI112" s="25"/>
      <c r="AJ112" s="25"/>
      <c r="AK112" s="25"/>
      <c r="AL112" s="25"/>
      <c r="AM112" s="25"/>
      <c r="AN112" s="25"/>
      <c r="AQ112" s="641">
        <v>1305</v>
      </c>
      <c r="AR112" t="s">
        <v>2258</v>
      </c>
      <c r="AS112" t="s">
        <v>2259</v>
      </c>
      <c r="AT112" t="s">
        <v>2231</v>
      </c>
      <c r="AU112" s="642">
        <v>2488511</v>
      </c>
    </row>
    <row r="113" spans="3:47" ht="12.9" x14ac:dyDescent="0.35">
      <c r="C113" s="526" t="s">
        <v>552</v>
      </c>
      <c r="D113" s="25">
        <f>IF(WC!J403="describe corrective action needed for any Red Flag or Yellow Flag ranking",0,1)</f>
        <v>1</v>
      </c>
      <c r="Q113" s="461">
        <f t="shared" si="47"/>
        <v>0</v>
      </c>
      <c r="R113" s="25">
        <v>0</v>
      </c>
      <c r="S113" s="461" t="s">
        <v>548</v>
      </c>
      <c r="T113" s="462" t="b">
        <f t="shared" si="48"/>
        <v>0</v>
      </c>
      <c r="U113" s="462" t="b">
        <f t="shared" si="49"/>
        <v>0</v>
      </c>
      <c r="V113" s="462" t="b">
        <f>IF(R113=3,TRUE,FALSE)</f>
        <v>0</v>
      </c>
      <c r="W113" s="466">
        <f>COUNTIF(T113:V113,TRUE)</f>
        <v>0</v>
      </c>
      <c r="X113" s="466">
        <f>IF(T113,6,IF(U113,20,0))</f>
        <v>0</v>
      </c>
      <c r="Z113" s="502">
        <f>IF(T114,1,0)</f>
        <v>0</v>
      </c>
      <c r="AA113" s="502">
        <f>IF(U114,1,0)</f>
        <v>0</v>
      </c>
      <c r="AB113" s="461">
        <f>IF(WC!H214="",0,IF(WC!I214="Describe exposure - program(s), location(s), frequency, number of involved staff, number and type of equipment, training and certification, protocols; if supervision/management is by vendor, so note.",1,0))</f>
        <v>0</v>
      </c>
      <c r="AC113" s="459"/>
      <c r="AD113" s="461">
        <f t="shared" si="50"/>
        <v>0</v>
      </c>
      <c r="AQ113" s="641">
        <v>1313</v>
      </c>
      <c r="AR113" t="s">
        <v>2260</v>
      </c>
      <c r="AS113" t="s">
        <v>2261</v>
      </c>
      <c r="AT113" t="s">
        <v>2231</v>
      </c>
      <c r="AU113" s="642">
        <v>3131673</v>
      </c>
    </row>
    <row r="114" spans="3:47" ht="12.9" x14ac:dyDescent="0.35">
      <c r="C114" s="526" t="s">
        <v>551</v>
      </c>
      <c r="D114" s="25">
        <f>IF(WC!J419="describe corrective action needed for any Red Flag or Yellow Flag ranking",0,1)</f>
        <v>1</v>
      </c>
      <c r="Q114" s="461">
        <f t="shared" si="47"/>
        <v>0</v>
      </c>
      <c r="R114" s="81">
        <v>0</v>
      </c>
      <c r="S114" s="461" t="s">
        <v>197</v>
      </c>
      <c r="T114" s="462" t="b">
        <f t="shared" si="48"/>
        <v>0</v>
      </c>
      <c r="U114" s="462" t="b">
        <f t="shared" si="49"/>
        <v>0</v>
      </c>
      <c r="V114" s="462" t="b">
        <f>IF(R114=3,TRUE,FALSE)</f>
        <v>0</v>
      </c>
      <c r="W114" s="466">
        <f>COUNTIF(T114:V114,TRUE)</f>
        <v>0</v>
      </c>
      <c r="X114" s="466">
        <f>IF(T114,4,IF(U114,10,0))</f>
        <v>0</v>
      </c>
      <c r="AB114" s="461">
        <f>IF(WC!H218="",0,IF(WC!I218="Describe exposure - number of employees, when and how long the park operates, training and experience of employees, extent of on-skate time for employees; note if park includes BMX - if so, describe separation, extent, and staff involvement.",1,0))</f>
        <v>0</v>
      </c>
      <c r="AD114" s="461">
        <f t="shared" si="50"/>
        <v>0</v>
      </c>
      <c r="AQ114" s="641">
        <v>1325</v>
      </c>
      <c r="AR114" t="s">
        <v>2262</v>
      </c>
      <c r="AS114" t="s">
        <v>2263</v>
      </c>
      <c r="AT114" t="s">
        <v>2231</v>
      </c>
      <c r="AU114" s="642">
        <v>9268354</v>
      </c>
    </row>
    <row r="115" spans="3:47" ht="12.9" x14ac:dyDescent="0.35">
      <c r="C115" s="526" t="s">
        <v>550</v>
      </c>
      <c r="D115" s="25">
        <f>IF(WC!J435="describe corrective action needed for any Red Flag or Yellow Flag ranking",0,1)</f>
        <v>1</v>
      </c>
      <c r="AQ115" s="641">
        <v>1328</v>
      </c>
      <c r="AR115" t="s">
        <v>2264</v>
      </c>
      <c r="AS115" t="s">
        <v>2265</v>
      </c>
      <c r="AT115" t="s">
        <v>2231</v>
      </c>
      <c r="AU115" s="642">
        <v>5184696</v>
      </c>
    </row>
    <row r="116" spans="3:47" ht="12.9" x14ac:dyDescent="0.35">
      <c r="C116" s="526" t="s">
        <v>513</v>
      </c>
      <c r="D116" s="25">
        <f>IF(WC!J455="describe corrective action needed for any Red Flag or Yellow Flag ranking",0,1)</f>
        <v>1</v>
      </c>
      <c r="E116" s="81"/>
      <c r="AQ116" s="641">
        <v>1331</v>
      </c>
      <c r="AR116" t="s">
        <v>2266</v>
      </c>
      <c r="AS116" t="s">
        <v>2267</v>
      </c>
      <c r="AT116" t="s">
        <v>2231</v>
      </c>
      <c r="AU116" s="642">
        <v>5328111</v>
      </c>
    </row>
    <row r="117" spans="3:47" ht="12.9" x14ac:dyDescent="0.35">
      <c r="C117" s="526" t="s">
        <v>515</v>
      </c>
      <c r="D117" s="25">
        <f>IF(WC!J471="describe corrective action needed for any Red Flag or Yellow Flag ranking",0,1)</f>
        <v>1</v>
      </c>
      <c r="E117" s="81"/>
      <c r="AQ117" s="641">
        <v>1333</v>
      </c>
      <c r="AR117" t="s">
        <v>2268</v>
      </c>
      <c r="AS117" t="s">
        <v>2269</v>
      </c>
      <c r="AT117" t="s">
        <v>2231</v>
      </c>
      <c r="AU117" s="642">
        <v>94516719</v>
      </c>
    </row>
    <row r="118" spans="3:47" ht="12.9" x14ac:dyDescent="0.35">
      <c r="C118" s="526" t="s">
        <v>549</v>
      </c>
      <c r="D118" s="25">
        <f>IF(WC!J487="describe corrective action needed for any Red Flag or Yellow Flag ranking",0,1)</f>
        <v>1</v>
      </c>
      <c r="E118" s="81"/>
      <c r="AQ118" s="641">
        <v>1335</v>
      </c>
      <c r="AR118" t="s">
        <v>2270</v>
      </c>
      <c r="AS118" t="s">
        <v>2271</v>
      </c>
      <c r="AT118" t="s">
        <v>2231</v>
      </c>
      <c r="AU118" s="642">
        <v>8793418</v>
      </c>
    </row>
    <row r="119" spans="3:47" ht="12.9" x14ac:dyDescent="0.35">
      <c r="C119" s="526" t="s">
        <v>519</v>
      </c>
      <c r="D119" s="25">
        <f>IF(WC!J503="describe corrective action needed for any Red Flag or Yellow Flag ranking",0,1)</f>
        <v>1</v>
      </c>
      <c r="E119" s="81"/>
      <c r="S119" s="461" t="s">
        <v>249</v>
      </c>
      <c r="T119" s="461"/>
      <c r="U119" s="461"/>
      <c r="V119" s="528" t="s">
        <v>198</v>
      </c>
      <c r="W119" s="461"/>
      <c r="X119" s="461"/>
      <c r="Y119" s="462" t="b">
        <f>AND(W120=1,W121=1,W122=1,W123=1,W124=1)</f>
        <v>0</v>
      </c>
      <c r="Z119" s="529">
        <f>(COUNTIF(U120:U125,TRUE))</f>
        <v>0</v>
      </c>
      <c r="AA119" s="485" t="str">
        <f>IF(Y119=TRUE,(1-(SUM(X120:X125)/100)),"")</f>
        <v/>
      </c>
      <c r="AB119" s="481" t="str">
        <f>IF(Y124=FALSE,"",IF(AE125&gt;0,"",IF(AA119&gt;=0.98,"DIAMOND MEDAL",IF(AA119&gt;=0.83,"PLATINUM MEDAL",IF(AA119&gt;=0.68,"GOLD MEDAL",IF(AA119&gt;=0.48,"YELLOW FLAG","RED FLAG"))))))</f>
        <v/>
      </c>
      <c r="AC119" s="481"/>
      <c r="AD119" s="481"/>
      <c r="AE119" s="481"/>
      <c r="AF119" s="481"/>
      <c r="AG119" s="461"/>
      <c r="AH119" s="461"/>
      <c r="AI119" s="25"/>
      <c r="AQ119" s="641">
        <v>1337</v>
      </c>
      <c r="AR119" t="s">
        <v>2272</v>
      </c>
      <c r="AS119" t="s">
        <v>2273</v>
      </c>
      <c r="AT119" t="s">
        <v>2231</v>
      </c>
      <c r="AU119" s="642">
        <v>2863502</v>
      </c>
    </row>
    <row r="120" spans="3:47" ht="12.9" x14ac:dyDescent="0.35">
      <c r="C120" s="25"/>
      <c r="Q120" s="461">
        <f>IF(R120=1,1,IF(R120=2,1,0))</f>
        <v>0</v>
      </c>
      <c r="R120" s="81">
        <v>0</v>
      </c>
      <c r="S120" s="461" t="s">
        <v>199</v>
      </c>
      <c r="T120" s="462" t="b">
        <f>IF(R120=1,TRUE,FALSE)</f>
        <v>0</v>
      </c>
      <c r="U120" s="462" t="b">
        <f>IF(R120=2,TRUE,FALSE)</f>
        <v>0</v>
      </c>
      <c r="V120" s="462" t="b">
        <f>IF(R120=3,TRUE,FALSE)</f>
        <v>0</v>
      </c>
      <c r="W120" s="466">
        <f>COUNTIF(T120:V120,TRUE)</f>
        <v>0</v>
      </c>
      <c r="X120" s="466">
        <f>IF(T120,7.5,IF(U120,25,0))</f>
        <v>0</v>
      </c>
      <c r="Y120" s="473" t="str">
        <f>IF(Y119=TRUE,1,"")</f>
        <v/>
      </c>
      <c r="Z120" s="502">
        <f t="shared" ref="Z120:AA124" si="52">IF(T120,1,0)</f>
        <v>0</v>
      </c>
      <c r="AA120" s="502">
        <f t="shared" si="52"/>
        <v>0</v>
      </c>
      <c r="AB120" s="470">
        <f>IF(Y123,1,0)</f>
        <v>1</v>
      </c>
      <c r="AC120" s="459"/>
      <c r="AD120" s="461">
        <f>IF(R120=1,1,IF(R120=2,1,0))</f>
        <v>0</v>
      </c>
      <c r="AE120" s="461"/>
      <c r="AF120" s="461"/>
      <c r="AG120" s="461"/>
      <c r="AH120" s="461"/>
      <c r="AI120" s="25"/>
      <c r="AQ120" s="641">
        <v>1338</v>
      </c>
      <c r="AR120" t="s">
        <v>2274</v>
      </c>
      <c r="AS120" t="s">
        <v>2275</v>
      </c>
      <c r="AT120" t="s">
        <v>2231</v>
      </c>
      <c r="AU120" s="642">
        <v>4787814</v>
      </c>
    </row>
    <row r="121" spans="3:47" ht="12.9" x14ac:dyDescent="0.35">
      <c r="C121" s="25"/>
      <c r="Q121" s="461">
        <f>IF(R121=1,1,IF(R121=2,1,0))</f>
        <v>0</v>
      </c>
      <c r="R121" s="81">
        <v>0</v>
      </c>
      <c r="S121" s="461" t="s">
        <v>200</v>
      </c>
      <c r="T121" s="462" t="b">
        <f>IF(R121=1,TRUE,FALSE)</f>
        <v>0</v>
      </c>
      <c r="U121" s="462" t="b">
        <f>IF(R121=2,TRUE,FALSE)</f>
        <v>0</v>
      </c>
      <c r="V121" s="462" t="b">
        <f>IF(R121=3,TRUE,FALSE)</f>
        <v>0</v>
      </c>
      <c r="W121" s="466">
        <f>COUNTIF(T121:V121,TRUE)</f>
        <v>0</v>
      </c>
      <c r="X121" s="466">
        <f>IF(T121,7.5,IF(U121,25,0))</f>
        <v>0</v>
      </c>
      <c r="Y121" s="462" t="b">
        <f>AND(U120=FALSE,U121=FALSE,U122=FALSE,U123=FALSE,U124=FALSE)</f>
        <v>1</v>
      </c>
      <c r="Z121" s="502">
        <f t="shared" si="52"/>
        <v>0</v>
      </c>
      <c r="AA121" s="502">
        <f t="shared" si="52"/>
        <v>0</v>
      </c>
      <c r="AB121" s="461">
        <f>IF(WC!H229="",0,IF(WC!I229="Describe exposure - number of staff, frequency, duration, type of roof, height, pitch, etc.",1,0))</f>
        <v>0</v>
      </c>
      <c r="AC121" s="461">
        <f>SUM(AB121:AB125)</f>
        <v>0</v>
      </c>
      <c r="AD121" s="461">
        <f>IF(R121=1,1,IF(R121=2,1,0))</f>
        <v>0</v>
      </c>
      <c r="AE121" s="461"/>
      <c r="AF121" s="461"/>
      <c r="AG121" s="461"/>
      <c r="AH121" s="461"/>
      <c r="AI121" s="25"/>
      <c r="AQ121" s="641">
        <v>1341</v>
      </c>
      <c r="AR121" t="s">
        <v>2276</v>
      </c>
      <c r="AS121" t="s">
        <v>2277</v>
      </c>
      <c r="AT121" t="s">
        <v>2231</v>
      </c>
      <c r="AU121" s="642">
        <v>31221105</v>
      </c>
    </row>
    <row r="122" spans="3:47" ht="12.9" x14ac:dyDescent="0.35">
      <c r="Q122" s="461">
        <f>IF(R122=1,1,IF(R122=2,1,0))</f>
        <v>0</v>
      </c>
      <c r="R122" s="81">
        <v>0</v>
      </c>
      <c r="S122" s="461" t="s">
        <v>201</v>
      </c>
      <c r="T122" s="462" t="b">
        <f>IF(R122=1,TRUE,FALSE)</f>
        <v>0</v>
      </c>
      <c r="U122" s="462" t="b">
        <f>IF(R122=2,TRUE,FALSE)</f>
        <v>0</v>
      </c>
      <c r="V122" s="462" t="b">
        <f>IF(R122=3,TRUE,FALSE)</f>
        <v>0</v>
      </c>
      <c r="W122" s="466">
        <f>COUNTIF(T122:V122,TRUE)</f>
        <v>0</v>
      </c>
      <c r="X122" s="466">
        <f>IF(T122,3,IF(U122,10,0))</f>
        <v>0</v>
      </c>
      <c r="Y122" s="462" t="b">
        <f>AND(Y119=TRUE,Y121=TRUE)</f>
        <v>0</v>
      </c>
      <c r="Z122" s="502">
        <f t="shared" si="52"/>
        <v>0</v>
      </c>
      <c r="AA122" s="502">
        <f t="shared" si="52"/>
        <v>0</v>
      </c>
      <c r="AB122" s="461">
        <f>IF(WC!H233="",0,IF(WC!I233="Describe exposure - number of staff, frequency, duration, tree height, equipment used, training/experience, etc.",1,0))</f>
        <v>0</v>
      </c>
      <c r="AC122" s="459"/>
      <c r="AD122" s="461">
        <f>IF(R122=1,1,IF(R122=2,1,0))</f>
        <v>0</v>
      </c>
      <c r="AE122" s="461"/>
      <c r="AF122" s="461"/>
      <c r="AG122" s="461"/>
      <c r="AH122" s="461"/>
      <c r="AI122" s="25"/>
      <c r="AQ122" s="641">
        <v>1345</v>
      </c>
      <c r="AR122" t="s">
        <v>2278</v>
      </c>
      <c r="AS122" t="s">
        <v>2279</v>
      </c>
      <c r="AT122" t="s">
        <v>2231</v>
      </c>
      <c r="AU122" s="642">
        <v>10385846</v>
      </c>
    </row>
    <row r="123" spans="3:47" ht="12.9" x14ac:dyDescent="0.35">
      <c r="Q123" s="461">
        <f>IF(R123=1,1,IF(R123=2,1,0))</f>
        <v>0</v>
      </c>
      <c r="R123" s="81">
        <v>0</v>
      </c>
      <c r="S123" s="461" t="s">
        <v>202</v>
      </c>
      <c r="T123" s="462" t="b">
        <f>IF(R123=1,TRUE,FALSE)</f>
        <v>0</v>
      </c>
      <c r="U123" s="462" t="b">
        <f>IF(R123=2,TRUE,FALSE)</f>
        <v>0</v>
      </c>
      <c r="V123" s="462" t="b">
        <f>IF(R123=3,TRUE,FALSE)</f>
        <v>0</v>
      </c>
      <c r="W123" s="466">
        <f>COUNTIF(T123:V123,TRUE)</f>
        <v>0</v>
      </c>
      <c r="X123" s="466">
        <f>IF(T123,9,IF(U123,30,0))</f>
        <v>0</v>
      </c>
      <c r="Y123" s="473" t="b">
        <f>IF(AC121&gt;0,FALSE,TRUE)</f>
        <v>1</v>
      </c>
      <c r="Z123" s="502">
        <f t="shared" si="52"/>
        <v>0</v>
      </c>
      <c r="AA123" s="502">
        <f t="shared" si="52"/>
        <v>0</v>
      </c>
      <c r="AB123" s="461">
        <f>IF(WC!H237="",0,IF(WC!I237="Describe exposure - number of staff, frequency, duration, navigable waters, vessel used, training/experience, etc.",1,0))</f>
        <v>0</v>
      </c>
      <c r="AC123" s="459"/>
      <c r="AD123" s="461">
        <f>IF(R123=1,1,IF(R123=2,1,0))</f>
        <v>0</v>
      </c>
      <c r="AE123" s="461"/>
      <c r="AF123" s="461"/>
      <c r="AG123" s="461"/>
      <c r="AH123" s="461"/>
      <c r="AI123" s="25"/>
      <c r="AQ123" s="641">
        <v>1349</v>
      </c>
      <c r="AR123" t="s">
        <v>2280</v>
      </c>
      <c r="AS123" t="s">
        <v>2281</v>
      </c>
      <c r="AT123" t="s">
        <v>2282</v>
      </c>
      <c r="AU123" s="642">
        <v>3565301</v>
      </c>
    </row>
    <row r="124" spans="3:47" ht="12.9" x14ac:dyDescent="0.35">
      <c r="Q124" s="461">
        <f>IF(R124=1,1,IF(R124=2,1,0))</f>
        <v>0</v>
      </c>
      <c r="R124" s="81">
        <v>0</v>
      </c>
      <c r="S124" s="461" t="s">
        <v>203</v>
      </c>
      <c r="T124" s="462" t="b">
        <f>IF(R124=1,TRUE,FALSE)</f>
        <v>0</v>
      </c>
      <c r="U124" s="462" t="b">
        <f>IF(R124=2,TRUE,FALSE)</f>
        <v>0</v>
      </c>
      <c r="V124" s="462" t="b">
        <f>IF(R124=3,TRUE,FALSE)</f>
        <v>0</v>
      </c>
      <c r="W124" s="466">
        <f>COUNTIF(T124:V124,TRUE)</f>
        <v>0</v>
      </c>
      <c r="X124" s="466">
        <f>IF(T124,3,IF(U124,10,0))</f>
        <v>0</v>
      </c>
      <c r="Y124" s="475" t="b">
        <f>AND(Y119=TRUE,Y123=TRUE)</f>
        <v>0</v>
      </c>
      <c r="Z124" s="502">
        <f t="shared" si="52"/>
        <v>0</v>
      </c>
      <c r="AA124" s="502">
        <f t="shared" si="52"/>
        <v>0</v>
      </c>
      <c r="AB124" s="461">
        <f>IF(WC!H241="",0,IF(WC!I241="Describe exposure - number of staff, training/experience, type of client, presence of weapons, etc.",1,0))</f>
        <v>0</v>
      </c>
      <c r="AC124" s="459"/>
      <c r="AD124" s="461">
        <f>IF(R124=1,1,IF(R124=2,1,0))</f>
        <v>0</v>
      </c>
      <c r="AE124" s="461"/>
      <c r="AF124" s="461"/>
      <c r="AG124" s="461"/>
      <c r="AH124" s="461"/>
      <c r="AI124" s="25"/>
      <c r="AQ124" s="641">
        <v>1357</v>
      </c>
      <c r="AR124" t="s">
        <v>2283</v>
      </c>
      <c r="AS124" t="s">
        <v>2284</v>
      </c>
      <c r="AT124" t="s">
        <v>2282</v>
      </c>
      <c r="AU124" s="642">
        <v>2207248</v>
      </c>
    </row>
    <row r="125" spans="3:47" ht="12.9" x14ac:dyDescent="0.35">
      <c r="S125" s="461"/>
      <c r="T125" s="462"/>
      <c r="U125" s="462"/>
      <c r="V125" s="462"/>
      <c r="W125" s="466"/>
      <c r="X125" s="466"/>
      <c r="Y125" s="473"/>
      <c r="Z125" s="502"/>
      <c r="AA125" s="502"/>
      <c r="AB125" s="461">
        <f>IF(WC!H245="",0,IF(WC!I245="Describe exposure - number of staff, training/experience, type and extent of work, frequency, tasks contracted to others, etc.",1,0))</f>
        <v>0</v>
      </c>
      <c r="AC125" s="459"/>
      <c r="AD125" s="459"/>
      <c r="AE125" s="461"/>
      <c r="AF125" s="461"/>
      <c r="AG125" s="461"/>
      <c r="AH125" s="461"/>
      <c r="AI125" s="25"/>
      <c r="AQ125" s="641">
        <v>1361</v>
      </c>
      <c r="AR125" t="s">
        <v>2285</v>
      </c>
      <c r="AS125" t="s">
        <v>2286</v>
      </c>
      <c r="AT125" t="s">
        <v>2282</v>
      </c>
      <c r="AU125" s="642">
        <v>98321270</v>
      </c>
    </row>
    <row r="126" spans="3:47" ht="12.9" x14ac:dyDescent="0.35">
      <c r="S126" s="25"/>
      <c r="T126" s="25"/>
      <c r="U126" s="25"/>
      <c r="V126" s="25"/>
      <c r="W126" s="25"/>
      <c r="X126" s="25"/>
      <c r="Y126" s="473"/>
      <c r="Z126" s="502"/>
      <c r="AA126" s="502"/>
      <c r="AB126" s="459"/>
      <c r="AC126" s="459"/>
      <c r="AD126" s="459"/>
      <c r="AE126" s="461"/>
      <c r="AF126" s="461"/>
      <c r="AG126" s="25"/>
      <c r="AH126" s="25"/>
      <c r="AI126" s="25"/>
      <c r="AQ126" s="641">
        <v>1382</v>
      </c>
      <c r="AR126" t="s">
        <v>2287</v>
      </c>
      <c r="AS126" t="s">
        <v>2288</v>
      </c>
      <c r="AT126" t="s">
        <v>2282</v>
      </c>
      <c r="AU126" s="642">
        <v>2632282</v>
      </c>
    </row>
    <row r="127" spans="3:47" ht="12.9" x14ac:dyDescent="0.35">
      <c r="S127" s="25"/>
      <c r="T127" s="530"/>
      <c r="U127" s="530"/>
      <c r="V127" s="530"/>
      <c r="W127" s="466"/>
      <c r="X127" s="466"/>
      <c r="Y127" s="448"/>
      <c r="Z127" s="405"/>
      <c r="AA127" s="405"/>
      <c r="AB127" s="470">
        <f>IF(Y123,1,0)</f>
        <v>1</v>
      </c>
      <c r="AC127" s="25"/>
      <c r="AD127" s="25"/>
      <c r="AE127" s="25"/>
      <c r="AF127" s="25"/>
      <c r="AG127" s="25"/>
      <c r="AH127" s="25"/>
      <c r="AI127" s="25"/>
      <c r="AQ127" s="641">
        <v>1389</v>
      </c>
      <c r="AR127" t="s">
        <v>2289</v>
      </c>
      <c r="AS127" t="s">
        <v>2286</v>
      </c>
      <c r="AT127" t="s">
        <v>2282</v>
      </c>
      <c r="AU127" s="642">
        <v>962974</v>
      </c>
    </row>
    <row r="128" spans="3:47" ht="12.9" x14ac:dyDescent="0.35">
      <c r="S128" s="25" t="s">
        <v>253</v>
      </c>
      <c r="T128" s="25"/>
      <c r="U128" s="530"/>
      <c r="V128" s="25"/>
      <c r="W128" s="25"/>
      <c r="X128" s="25"/>
      <c r="Y128" s="448"/>
      <c r="Z128" s="405"/>
      <c r="AA128" s="405"/>
      <c r="AB128" s="25"/>
      <c r="AC128" s="25"/>
      <c r="AD128" s="25"/>
      <c r="AE128" s="25"/>
      <c r="AF128" s="25"/>
      <c r="AG128" s="25"/>
      <c r="AH128" s="25"/>
      <c r="AI128" s="25"/>
      <c r="AQ128" s="641">
        <v>1401</v>
      </c>
      <c r="AR128" t="s">
        <v>2290</v>
      </c>
      <c r="AS128" t="s">
        <v>2291</v>
      </c>
      <c r="AT128" t="s">
        <v>2282</v>
      </c>
      <c r="AU128" s="642">
        <v>11371327</v>
      </c>
    </row>
    <row r="129" spans="19:47" ht="12.9" x14ac:dyDescent="0.35">
      <c r="S129" s="25" t="s">
        <v>204</v>
      </c>
      <c r="T129" s="25"/>
      <c r="U129" s="25"/>
      <c r="V129" s="25"/>
      <c r="W129" s="25"/>
      <c r="X129" s="466"/>
      <c r="Y129" s="530"/>
      <c r="Z129" s="405"/>
      <c r="AA129" s="405"/>
      <c r="AB129" s="25"/>
      <c r="AC129" s="25"/>
      <c r="AD129" s="25"/>
      <c r="AE129" s="25"/>
      <c r="AF129" s="25"/>
      <c r="AG129" s="25"/>
      <c r="AH129" s="25"/>
      <c r="AI129" s="25"/>
      <c r="AQ129" s="641">
        <v>1408</v>
      </c>
      <c r="AR129" t="s">
        <v>2292</v>
      </c>
      <c r="AS129" t="s">
        <v>2293</v>
      </c>
      <c r="AT129" t="s">
        <v>2282</v>
      </c>
      <c r="AU129" s="642">
        <v>1049523</v>
      </c>
    </row>
    <row r="130" spans="19:47" ht="12.9" x14ac:dyDescent="0.35">
      <c r="S130" s="25" t="s">
        <v>205</v>
      </c>
      <c r="T130" s="25"/>
      <c r="U130" s="25"/>
      <c r="V130" s="25"/>
      <c r="W130" s="25"/>
      <c r="X130" s="25"/>
      <c r="Y130" s="530"/>
      <c r="Z130" s="405"/>
      <c r="AA130" s="405"/>
      <c r="AB130" s="531"/>
      <c r="AC130" s="25"/>
      <c r="AD130" s="25"/>
      <c r="AE130" s="25"/>
      <c r="AF130" s="25"/>
      <c r="AG130" s="25"/>
      <c r="AH130" s="25"/>
      <c r="AI130" s="25"/>
      <c r="AQ130" s="641">
        <v>1409</v>
      </c>
      <c r="AR130" t="s">
        <v>2294</v>
      </c>
      <c r="AS130" t="s">
        <v>2295</v>
      </c>
      <c r="AT130" t="s">
        <v>2282</v>
      </c>
      <c r="AU130" s="642">
        <v>2557560</v>
      </c>
    </row>
    <row r="131" spans="19:47" ht="12.9" x14ac:dyDescent="0.35">
      <c r="S131" s="25" t="s">
        <v>206</v>
      </c>
      <c r="T131" s="25"/>
      <c r="U131" s="25"/>
      <c r="V131" s="25"/>
      <c r="W131" s="448"/>
      <c r="X131" s="448"/>
      <c r="Y131" s="25"/>
      <c r="Z131" s="405"/>
      <c r="AA131" s="405"/>
      <c r="AB131" s="25"/>
      <c r="AC131" s="25"/>
      <c r="AD131" s="25"/>
      <c r="AE131" s="25"/>
      <c r="AF131" s="25"/>
      <c r="AG131" s="25"/>
      <c r="AH131" s="25"/>
      <c r="AI131" s="25"/>
      <c r="AQ131" s="641">
        <v>1429</v>
      </c>
      <c r="AR131" t="s">
        <v>2296</v>
      </c>
      <c r="AS131" t="s">
        <v>2297</v>
      </c>
      <c r="AT131" t="s">
        <v>2282</v>
      </c>
      <c r="AU131" s="642">
        <v>2391744</v>
      </c>
    </row>
    <row r="132" spans="19:47" ht="12.9" x14ac:dyDescent="0.35">
      <c r="S132" s="25" t="s">
        <v>207</v>
      </c>
      <c r="T132" s="25"/>
      <c r="U132" s="25"/>
      <c r="V132" s="25"/>
      <c r="W132" s="25"/>
      <c r="X132" s="25"/>
      <c r="Y132" s="448"/>
      <c r="Z132" s="405"/>
      <c r="AA132" s="405"/>
      <c r="AB132" s="25"/>
      <c r="AC132" s="25"/>
      <c r="AD132" s="25"/>
      <c r="AE132" s="25"/>
      <c r="AF132" s="25"/>
      <c r="AG132" s="25"/>
      <c r="AH132" s="25"/>
      <c r="AI132" s="25"/>
      <c r="AQ132" s="641">
        <v>1430</v>
      </c>
      <c r="AR132" t="s">
        <v>2298</v>
      </c>
      <c r="AS132" t="s">
        <v>2239</v>
      </c>
      <c r="AT132" t="s">
        <v>2282</v>
      </c>
      <c r="AU132" s="642">
        <v>7042361</v>
      </c>
    </row>
    <row r="133" spans="19:47" ht="12.9" x14ac:dyDescent="0.35">
      <c r="S133" s="25" t="s">
        <v>208</v>
      </c>
      <c r="T133" s="25"/>
      <c r="U133" s="25"/>
      <c r="V133" s="25"/>
      <c r="W133" s="25"/>
      <c r="X133" s="25"/>
      <c r="Y133" s="448"/>
      <c r="Z133" s="405"/>
      <c r="AA133" s="405"/>
      <c r="AB133" s="25"/>
      <c r="AC133" s="25"/>
      <c r="AD133" s="25"/>
      <c r="AE133" s="25"/>
      <c r="AF133" s="25"/>
      <c r="AG133" s="25"/>
      <c r="AH133" s="25"/>
      <c r="AI133" s="25"/>
      <c r="AQ133" s="641">
        <v>1433</v>
      </c>
      <c r="AR133" t="s">
        <v>2299</v>
      </c>
      <c r="AS133" t="s">
        <v>2300</v>
      </c>
      <c r="AT133" t="s">
        <v>2282</v>
      </c>
      <c r="AU133" s="642">
        <v>1133187</v>
      </c>
    </row>
    <row r="134" spans="19:47" ht="12.9" x14ac:dyDescent="0.35">
      <c r="S134" s="25" t="s">
        <v>209</v>
      </c>
      <c r="T134" s="25"/>
      <c r="U134" s="25"/>
      <c r="V134" s="25"/>
      <c r="W134" s="25"/>
      <c r="X134" s="25"/>
      <c r="Y134" s="448"/>
      <c r="Z134" s="405"/>
      <c r="AA134" s="405"/>
      <c r="AB134" s="25"/>
      <c r="AC134" s="25"/>
      <c r="AD134" s="25"/>
      <c r="AE134" s="25"/>
      <c r="AF134" s="25"/>
      <c r="AG134" s="25"/>
      <c r="AH134" s="25"/>
      <c r="AI134" s="25"/>
      <c r="AQ134" s="641">
        <v>1437</v>
      </c>
      <c r="AR134" t="s">
        <v>2301</v>
      </c>
      <c r="AS134" t="s">
        <v>2302</v>
      </c>
      <c r="AT134" t="s">
        <v>2282</v>
      </c>
      <c r="AU134" s="642">
        <v>14237755</v>
      </c>
    </row>
    <row r="135" spans="19:47" ht="12.9" x14ac:dyDescent="0.35">
      <c r="S135" s="25" t="s">
        <v>708</v>
      </c>
      <c r="T135" s="25"/>
      <c r="U135" s="25"/>
      <c r="V135" s="25"/>
      <c r="W135" s="25"/>
      <c r="X135" s="25"/>
      <c r="Y135" s="448"/>
      <c r="Z135" s="405"/>
      <c r="AA135" s="405"/>
      <c r="AB135" s="25"/>
      <c r="AC135" s="25"/>
      <c r="AD135" s="25"/>
      <c r="AE135" s="25"/>
      <c r="AF135" s="25"/>
      <c r="AG135" s="25"/>
      <c r="AH135" s="25"/>
      <c r="AI135" s="25"/>
      <c r="AQ135" s="641">
        <v>1441</v>
      </c>
      <c r="AR135" t="s">
        <v>2303</v>
      </c>
      <c r="AS135" t="s">
        <v>2302</v>
      </c>
      <c r="AT135" t="s">
        <v>2282</v>
      </c>
      <c r="AU135" s="642">
        <v>196996</v>
      </c>
    </row>
    <row r="136" spans="19:47" ht="12.9" x14ac:dyDescent="0.35">
      <c r="S136" s="25" t="s">
        <v>210</v>
      </c>
      <c r="T136" s="25"/>
      <c r="U136" s="25"/>
      <c r="V136" s="25"/>
      <c r="W136" s="25"/>
      <c r="X136" s="25"/>
      <c r="Y136" s="448"/>
      <c r="Z136" s="405"/>
      <c r="AA136" s="405"/>
      <c r="AB136" s="25"/>
      <c r="AC136" s="25"/>
      <c r="AD136" s="25"/>
      <c r="AE136" s="25"/>
      <c r="AF136" s="25"/>
      <c r="AG136" s="25"/>
      <c r="AH136" s="25"/>
      <c r="AI136" s="25"/>
      <c r="AQ136" s="641">
        <v>1445</v>
      </c>
      <c r="AR136" t="s">
        <v>2304</v>
      </c>
      <c r="AS136" t="s">
        <v>2305</v>
      </c>
      <c r="AT136" t="s">
        <v>2282</v>
      </c>
      <c r="AU136" s="642">
        <v>652783</v>
      </c>
    </row>
    <row r="137" spans="19:47" ht="12.9" x14ac:dyDescent="0.35">
      <c r="S137" s="25" t="s">
        <v>211</v>
      </c>
      <c r="T137" s="25"/>
      <c r="U137" s="25"/>
      <c r="V137" s="25"/>
      <c r="W137" s="25"/>
      <c r="X137" s="25"/>
      <c r="Y137" s="448"/>
      <c r="Z137" s="405"/>
      <c r="AA137" s="405"/>
      <c r="AB137" s="25"/>
      <c r="AC137" s="25"/>
      <c r="AD137" s="25"/>
      <c r="AE137" s="25"/>
      <c r="AF137" s="25"/>
      <c r="AG137" s="25"/>
      <c r="AH137" s="25"/>
      <c r="AI137" s="25"/>
      <c r="AQ137" s="641">
        <v>1449</v>
      </c>
      <c r="AR137" t="s">
        <v>2306</v>
      </c>
      <c r="AS137" t="s">
        <v>2307</v>
      </c>
      <c r="AT137" t="s">
        <v>2282</v>
      </c>
      <c r="AU137" s="642">
        <v>515674</v>
      </c>
    </row>
    <row r="138" spans="19:47" ht="12.9" x14ac:dyDescent="0.35">
      <c r="S138" s="25" t="s">
        <v>212</v>
      </c>
      <c r="T138" s="25"/>
      <c r="U138" s="25"/>
      <c r="V138" s="25"/>
      <c r="W138" s="25"/>
      <c r="X138" s="25"/>
      <c r="Y138" s="448"/>
      <c r="Z138" s="405"/>
      <c r="AA138" s="405"/>
      <c r="AB138" s="25"/>
      <c r="AC138" s="25"/>
      <c r="AD138" s="25"/>
      <c r="AE138" s="25"/>
      <c r="AF138" s="25"/>
      <c r="AG138" s="25"/>
      <c r="AH138" s="25"/>
      <c r="AI138" s="25"/>
      <c r="AQ138" s="641">
        <v>1455</v>
      </c>
      <c r="AR138" t="s">
        <v>2308</v>
      </c>
      <c r="AS138" t="s">
        <v>2309</v>
      </c>
      <c r="AT138" t="s">
        <v>2282</v>
      </c>
      <c r="AU138" s="642">
        <v>4254164</v>
      </c>
    </row>
    <row r="139" spans="19:47" ht="12.9" x14ac:dyDescent="0.35">
      <c r="S139" s="25" t="s">
        <v>213</v>
      </c>
      <c r="T139" s="25"/>
      <c r="U139" s="25"/>
      <c r="V139" s="25"/>
      <c r="W139" s="25"/>
      <c r="X139" s="25"/>
      <c r="Y139" s="448"/>
      <c r="Z139" s="405"/>
      <c r="AA139" s="405"/>
      <c r="AB139" s="25"/>
      <c r="AC139" s="25"/>
      <c r="AD139" s="25"/>
      <c r="AE139" s="25"/>
      <c r="AF139" s="25"/>
      <c r="AG139" s="25"/>
      <c r="AH139" s="25"/>
      <c r="AI139" s="25"/>
      <c r="AQ139" s="641">
        <v>1456</v>
      </c>
      <c r="AR139" t="s">
        <v>2310</v>
      </c>
      <c r="AS139" t="s">
        <v>2311</v>
      </c>
      <c r="AT139" t="s">
        <v>2282</v>
      </c>
      <c r="AU139" s="642">
        <v>2420723</v>
      </c>
    </row>
    <row r="140" spans="19:47" ht="12.9" x14ac:dyDescent="0.35">
      <c r="S140" s="25" t="s">
        <v>214</v>
      </c>
      <c r="T140" s="25"/>
      <c r="U140" s="25"/>
      <c r="V140" s="25"/>
      <c r="W140" s="25"/>
      <c r="X140" s="25"/>
      <c r="Y140" s="448"/>
      <c r="Z140" s="405"/>
      <c r="AA140" s="405"/>
      <c r="AB140" s="25"/>
      <c r="AC140" s="25"/>
      <c r="AD140" s="25"/>
      <c r="AE140" s="25"/>
      <c r="AF140" s="25"/>
      <c r="AG140" s="25"/>
      <c r="AH140" s="25"/>
      <c r="AI140" s="25"/>
      <c r="AQ140" s="641">
        <v>1460</v>
      </c>
      <c r="AR140" t="s">
        <v>2312</v>
      </c>
      <c r="AS140" t="s">
        <v>2313</v>
      </c>
      <c r="AT140" t="s">
        <v>2282</v>
      </c>
      <c r="AU140" s="642">
        <v>472673</v>
      </c>
    </row>
    <row r="141" spans="19:47" ht="12.9" x14ac:dyDescent="0.35">
      <c r="S141" s="25" t="s">
        <v>512</v>
      </c>
      <c r="T141" s="25"/>
      <c r="U141" s="25"/>
      <c r="V141" s="25"/>
      <c r="W141" s="25"/>
      <c r="X141" s="25"/>
      <c r="Y141" s="448"/>
      <c r="Z141" s="405"/>
      <c r="AA141" s="405"/>
      <c r="AB141" s="25"/>
      <c r="AC141" s="25"/>
      <c r="AD141" s="25"/>
      <c r="AE141" s="25"/>
      <c r="AF141" s="25"/>
      <c r="AG141" s="25"/>
      <c r="AH141" s="25"/>
      <c r="AI141" s="25"/>
      <c r="AQ141" s="641">
        <v>1463</v>
      </c>
      <c r="AR141" t="s">
        <v>2314</v>
      </c>
      <c r="AS141" t="s">
        <v>2315</v>
      </c>
      <c r="AT141" t="s">
        <v>2282</v>
      </c>
      <c r="AU141" s="642">
        <v>1065495</v>
      </c>
    </row>
    <row r="142" spans="19:47" ht="12.9" x14ac:dyDescent="0.35">
      <c r="S142" s="25" t="s">
        <v>215</v>
      </c>
      <c r="T142" s="25"/>
      <c r="U142" s="25"/>
      <c r="V142" s="25"/>
      <c r="W142" s="25"/>
      <c r="X142" s="25"/>
      <c r="Y142" s="448"/>
      <c r="Z142" s="405"/>
      <c r="AA142" s="405"/>
      <c r="AB142" s="25"/>
      <c r="AC142" s="25"/>
      <c r="AD142" s="25"/>
      <c r="AE142" s="25"/>
      <c r="AF142" s="25"/>
      <c r="AG142" s="25"/>
      <c r="AH142" s="25"/>
      <c r="AI142" s="25"/>
      <c r="AQ142" s="641">
        <v>1467</v>
      </c>
      <c r="AR142" t="s">
        <v>2316</v>
      </c>
      <c r="AS142" t="s">
        <v>2317</v>
      </c>
      <c r="AT142" t="s">
        <v>2318</v>
      </c>
      <c r="AU142" s="642">
        <v>26898589</v>
      </c>
    </row>
    <row r="143" spans="19:47" ht="12.9" x14ac:dyDescent="0.35">
      <c r="S143" s="25" t="s">
        <v>216</v>
      </c>
      <c r="T143" s="25"/>
      <c r="U143" s="25"/>
      <c r="V143" s="25"/>
      <c r="W143" s="25"/>
      <c r="X143" s="25"/>
      <c r="Y143" s="448"/>
      <c r="Z143" s="405"/>
      <c r="AA143" s="405"/>
      <c r="AB143" s="25"/>
      <c r="AC143" s="25"/>
      <c r="AD143" s="25"/>
      <c r="AE143" s="25"/>
      <c r="AF143" s="25"/>
      <c r="AG143" s="25"/>
      <c r="AH143" s="25"/>
      <c r="AI143" s="25"/>
      <c r="AQ143" s="641">
        <v>1511</v>
      </c>
      <c r="AR143" t="s">
        <v>2319</v>
      </c>
      <c r="AS143" t="s">
        <v>2320</v>
      </c>
      <c r="AT143" t="s">
        <v>2318</v>
      </c>
      <c r="AU143" s="642">
        <v>326256</v>
      </c>
    </row>
    <row r="144" spans="19:47" ht="12.9" x14ac:dyDescent="0.35">
      <c r="S144" s="25" t="s">
        <v>217</v>
      </c>
      <c r="T144" s="25"/>
      <c r="U144" s="25"/>
      <c r="V144" s="25"/>
      <c r="W144" s="25"/>
      <c r="X144" s="25"/>
      <c r="Y144" s="448"/>
      <c r="Z144" s="405"/>
      <c r="AA144" s="405"/>
      <c r="AB144" s="25"/>
      <c r="AC144" s="25"/>
      <c r="AD144" s="25"/>
      <c r="AE144" s="25"/>
      <c r="AF144" s="25"/>
      <c r="AG144" s="25"/>
      <c r="AH144" s="25"/>
      <c r="AI144" s="25"/>
      <c r="AQ144" s="641">
        <v>1515</v>
      </c>
      <c r="AR144" t="s">
        <v>2321</v>
      </c>
      <c r="AS144" t="s">
        <v>2322</v>
      </c>
      <c r="AT144" t="s">
        <v>2318</v>
      </c>
      <c r="AU144" s="642">
        <v>1937539</v>
      </c>
    </row>
    <row r="145" spans="1:47" ht="12.9" x14ac:dyDescent="0.35">
      <c r="S145" s="25" t="s">
        <v>218</v>
      </c>
      <c r="T145" s="25"/>
      <c r="U145" s="25"/>
      <c r="V145" s="25"/>
      <c r="W145" s="25"/>
      <c r="X145" s="25"/>
      <c r="Y145" s="448"/>
      <c r="Z145" s="405"/>
      <c r="AA145" s="405"/>
      <c r="AB145" s="25"/>
      <c r="AC145" s="25"/>
      <c r="AD145" s="25"/>
      <c r="AE145" s="25"/>
      <c r="AF145" s="25"/>
      <c r="AG145" s="25"/>
      <c r="AH145" s="25"/>
      <c r="AI145" s="25"/>
      <c r="AQ145" s="641">
        <v>1519</v>
      </c>
      <c r="AR145" t="s">
        <v>2323</v>
      </c>
      <c r="AS145" t="s">
        <v>2324</v>
      </c>
      <c r="AT145" t="s">
        <v>2318</v>
      </c>
      <c r="AU145" s="642">
        <v>1750744</v>
      </c>
    </row>
    <row r="146" spans="1:47" ht="12.9" x14ac:dyDescent="0.35">
      <c r="AQ146" s="641">
        <v>1523</v>
      </c>
      <c r="AR146" t="s">
        <v>2325</v>
      </c>
      <c r="AS146" t="s">
        <v>2326</v>
      </c>
      <c r="AT146" t="s">
        <v>2327</v>
      </c>
      <c r="AU146" s="642">
        <v>17105027</v>
      </c>
    </row>
    <row r="147" spans="1:47" ht="13.3" thickBot="1" x14ac:dyDescent="0.4">
      <c r="AQ147" s="641">
        <v>1527</v>
      </c>
      <c r="AR147" t="s">
        <v>2328</v>
      </c>
      <c r="AS147" t="s">
        <v>2329</v>
      </c>
      <c r="AT147" t="s">
        <v>2327</v>
      </c>
      <c r="AU147" s="642">
        <v>1464311</v>
      </c>
    </row>
    <row r="148" spans="1:47" ht="21" thickTop="1" thickBot="1" x14ac:dyDescent="0.55000000000000004">
      <c r="A148" s="918" t="s">
        <v>164</v>
      </c>
      <c r="B148" s="919"/>
      <c r="C148" s="633" t="str">
        <f>START!AO1</f>
        <v>version 7.1.01</v>
      </c>
      <c r="D148" s="921" t="s">
        <v>704</v>
      </c>
      <c r="E148" s="921"/>
      <c r="F148" s="25"/>
      <c r="G148" s="405"/>
      <c r="H148" s="25"/>
      <c r="I148" s="25"/>
      <c r="J148" s="405"/>
      <c r="K148" s="405"/>
      <c r="L148" s="405"/>
      <c r="M148" s="405"/>
      <c r="N148" s="405"/>
      <c r="O148" s="25"/>
      <c r="P148" s="405"/>
      <c r="Q148" s="25"/>
      <c r="AN148" s="926" t="s">
        <v>1632</v>
      </c>
      <c r="AO148" s="927"/>
      <c r="AQ148" s="641">
        <v>1529</v>
      </c>
      <c r="AR148" t="s">
        <v>2330</v>
      </c>
      <c r="AS148" t="s">
        <v>2331</v>
      </c>
      <c r="AT148" t="s">
        <v>2327</v>
      </c>
      <c r="AU148" s="642">
        <v>2425818</v>
      </c>
    </row>
    <row r="149" spans="1:47" ht="13.3" thickTop="1" x14ac:dyDescent="0.35">
      <c r="A149" s="449" t="s">
        <v>574</v>
      </c>
      <c r="C149" s="449" t="s">
        <v>70</v>
      </c>
      <c r="D149" s="449" t="s">
        <v>574</v>
      </c>
      <c r="E149" s="449" t="s">
        <v>70</v>
      </c>
      <c r="F149" s="449"/>
      <c r="G149" s="449" t="s">
        <v>703</v>
      </c>
      <c r="H149" s="449"/>
      <c r="I149" s="920" t="s">
        <v>577</v>
      </c>
      <c r="J149" s="921"/>
      <c r="K149" s="921"/>
      <c r="L149" s="921"/>
      <c r="M149" s="921"/>
      <c r="N149" s="921"/>
      <c r="O149" s="449"/>
      <c r="P149" s="449" t="s">
        <v>702</v>
      </c>
      <c r="Q149" s="449" t="s">
        <v>567</v>
      </c>
      <c r="Z149" s="532" t="s">
        <v>1709</v>
      </c>
      <c r="AA149" s="390"/>
      <c r="AB149" s="390"/>
      <c r="AC149" s="390"/>
      <c r="AE149" s="451"/>
      <c r="AF149" s="451"/>
      <c r="AG149" s="450"/>
      <c r="AH149" s="450"/>
      <c r="AI149" s="450"/>
      <c r="AN149" s="391" t="s">
        <v>391</v>
      </c>
      <c r="AO149" s="391" t="s">
        <v>394</v>
      </c>
      <c r="AQ149" s="641">
        <v>1543</v>
      </c>
      <c r="AR149" t="s">
        <v>2332</v>
      </c>
      <c r="AS149" t="s">
        <v>2333</v>
      </c>
      <c r="AT149" t="s">
        <v>2327</v>
      </c>
      <c r="AU149" s="642">
        <v>1126726</v>
      </c>
    </row>
    <row r="150" spans="1:47" ht="13.3" thickBot="1" x14ac:dyDescent="0.4">
      <c r="A150" s="526"/>
      <c r="B150" s="533"/>
      <c r="C150" s="81">
        <f>IF(AB162=1,1,IF(Y150,1,0))</f>
        <v>0</v>
      </c>
      <c r="D150" s="181"/>
      <c r="H150" s="419">
        <f>SUM(H151:H154)</f>
        <v>0</v>
      </c>
      <c r="I150" s="425" t="s">
        <v>167</v>
      </c>
      <c r="J150" s="425" t="s">
        <v>172</v>
      </c>
      <c r="K150" s="425" t="s">
        <v>168</v>
      </c>
      <c r="L150" s="425" t="s">
        <v>169</v>
      </c>
      <c r="M150" s="425" t="s">
        <v>170</v>
      </c>
      <c r="N150" s="425" t="s">
        <v>171</v>
      </c>
      <c r="Y150" s="81" t="b">
        <f>IF(AA162,TRUE,IF(AB150+AB156=2,TRUE,FALSE))</f>
        <v>0</v>
      </c>
      <c r="Z150" s="526" t="s">
        <v>591</v>
      </c>
      <c r="AA150" s="405" t="b">
        <v>0</v>
      </c>
      <c r="AB150" s="81">
        <f>IF(AA162,1,IF(AA150,1,0))</f>
        <v>0</v>
      </c>
      <c r="AC150" s="81">
        <f>IF(AB150=1,IF(SUM(AB151:AB154)&gt;0,1,0),0)</f>
        <v>0</v>
      </c>
      <c r="AI150" s="466"/>
      <c r="AQ150" s="641">
        <v>1556</v>
      </c>
      <c r="AR150" t="s">
        <v>2334</v>
      </c>
      <c r="AS150" t="s">
        <v>2335</v>
      </c>
      <c r="AT150" t="s">
        <v>2336</v>
      </c>
      <c r="AU150" s="642">
        <v>3838122</v>
      </c>
    </row>
    <row r="151" spans="1:47" ht="13.3" thickTop="1" x14ac:dyDescent="0.35">
      <c r="A151" s="534" t="s">
        <v>715</v>
      </c>
      <c r="B151" s="535"/>
      <c r="C151" s="535" t="s">
        <v>902</v>
      </c>
      <c r="D151" s="936">
        <v>20</v>
      </c>
      <c r="E151" s="536">
        <v>10</v>
      </c>
      <c r="F151" s="535"/>
      <c r="G151" s="536">
        <f>IF(Camping!AK86="DIAMOND MEDAL",1,IF(Camping!AK86="PLATINUM MEDAL",2, IF(Camping!AK86="GOLD MEDAL",3,IF(Camping!AK86="YELLOW FLAG",4,IF(Camping!AK86="RED FLAG",5,0)))))</f>
        <v>0</v>
      </c>
      <c r="H151" s="536">
        <f>IF(I151=TRUE,1,IF(G151&gt;0,1,0))</f>
        <v>0</v>
      </c>
      <c r="I151" s="536" t="b">
        <f>IF(AA150,TRUE,IF(AA162,TRUE,FALSE))</f>
        <v>0</v>
      </c>
      <c r="J151" s="400" t="b">
        <f>IF(I151,FALSE,IF(G151=1,TRUE,FALSE))</f>
        <v>0</v>
      </c>
      <c r="K151" s="401" t="b">
        <f>IF(I151,FALSE,IF(G151=2,TRUE,FALSE))</f>
        <v>0</v>
      </c>
      <c r="L151" s="400" t="b">
        <f>IF(I151,FALSE,IF(G151=3,TRUE,FALSE))</f>
        <v>0</v>
      </c>
      <c r="M151" s="400" t="b">
        <f>IF(I151,FALSE,IF(G151=4,TRUE,FALSE))</f>
        <v>0</v>
      </c>
      <c r="N151" s="400" t="b">
        <f>IF(I151,FALSE,IF(G151=5,TRUE,FALSE))</f>
        <v>0</v>
      </c>
      <c r="O151" s="535"/>
      <c r="P151" s="395">
        <f>IF(I151=TRUE,0,IF(J151=TRUE,E151,IF(K151=TRUE,E151*0.85,IF(L151=TRUE,E151*0.7,IF(M151=TRUE,E151*0.5,0)))))</f>
        <v>0</v>
      </c>
      <c r="Q151" s="537">
        <f>IF(I151=TRUE,0,E151)</f>
        <v>10</v>
      </c>
      <c r="S151" s="81" t="s">
        <v>900</v>
      </c>
      <c r="T151" s="391">
        <f>100-SUM(T152:T161)</f>
        <v>100</v>
      </c>
      <c r="U151" s="461" t="str">
        <f>IF(AH163=0,"",IF(SUM(AC163:AC178)&lt;10,"",IF(T151&gt;=98,"DIAMOND MEDAL",IF(T151&gt;=83,"PLATINUM MEDAL",IF(T151&gt;=68,"GOLD MEDAL",IF(T151&gt;=48,"YELLOW FLAG","RED FLAG"))))))</f>
        <v/>
      </c>
      <c r="Z151" s="526" t="s">
        <v>992</v>
      </c>
      <c r="AA151" s="405" t="b">
        <v>0</v>
      </c>
      <c r="AB151" s="81">
        <f>IF(AA151,1,0)</f>
        <v>0</v>
      </c>
      <c r="AC151" s="81">
        <f>IF(SUM(AB151:AB154)&gt;0,1,0)</f>
        <v>0</v>
      </c>
      <c r="AN151" s="81" t="str">
        <f>C151</f>
        <v>SWIMMING</v>
      </c>
      <c r="AO151" s="387">
        <f>$D$151*(Q151-P151)</f>
        <v>200</v>
      </c>
      <c r="AQ151" s="641">
        <v>1557</v>
      </c>
      <c r="AR151" t="s">
        <v>2337</v>
      </c>
      <c r="AS151" t="s">
        <v>2338</v>
      </c>
      <c r="AT151" t="s">
        <v>2336</v>
      </c>
      <c r="AU151" s="642">
        <v>2444640</v>
      </c>
    </row>
    <row r="152" spans="1:47" ht="12.9" x14ac:dyDescent="0.35">
      <c r="A152" s="406">
        <f>SUM(P151:P154)</f>
        <v>0</v>
      </c>
      <c r="B152" s="407"/>
      <c r="C152" s="407" t="s">
        <v>901</v>
      </c>
      <c r="D152" s="937"/>
      <c r="E152" s="408">
        <v>10</v>
      </c>
      <c r="F152" s="407"/>
      <c r="G152" s="408">
        <f>IF(Camping!AK99="DIAMOND MEDAL",1,IF(Camping!AK99="PLATINUM MEDAL",2, IF(Camping!AK99="GOLD MEDAL",3,IF(Camping!AK99="YELLOW FLAG",4,IF(Camping!AK99="RED FLAG",5,0)))))</f>
        <v>0</v>
      </c>
      <c r="H152" s="386">
        <f>IF(I152=TRUE,1,IF(G152&gt;0,1,0))</f>
        <v>0</v>
      </c>
      <c r="I152" s="408" t="b">
        <f>IF(AA156,TRUE,IF(AA162,TRUE,FALSE))</f>
        <v>0</v>
      </c>
      <c r="J152" s="411" t="b">
        <f>IF(I152,FALSE,IF(G152=1,TRUE,FALSE))</f>
        <v>0</v>
      </c>
      <c r="K152" s="412" t="b">
        <f>IF(I152,FALSE,IF(G152=2,TRUE,FALSE))</f>
        <v>0</v>
      </c>
      <c r="L152" s="411" t="b">
        <f>IF(I152,FALSE,IF(G152=3,TRUE,FALSE))</f>
        <v>0</v>
      </c>
      <c r="M152" s="411" t="b">
        <f>IF(I152,FALSE,IF(G152=4,TRUE,FALSE))</f>
        <v>0</v>
      </c>
      <c r="N152" s="411" t="b">
        <f>IF(I152,FALSE,IF(G152=5,TRUE,FALSE))</f>
        <v>0</v>
      </c>
      <c r="O152" s="407"/>
      <c r="P152" s="408">
        <f>IF(I152=TRUE,0,IF(J152=TRUE,E152,IF(K152=TRUE,E152*0.85,IF(L152=TRUE,E152*0.7,IF(M152=TRUE,E152*0.5,0)))))</f>
        <v>0</v>
      </c>
      <c r="Q152" s="413">
        <f>IF(I152=TRUE,0,E152)</f>
        <v>10</v>
      </c>
      <c r="S152" s="81" t="s">
        <v>1637</v>
      </c>
      <c r="T152" s="81">
        <f>IF(AA163=2,15,0)</f>
        <v>0</v>
      </c>
      <c r="Z152" s="526" t="s">
        <v>993</v>
      </c>
      <c r="AA152" s="405" t="b">
        <v>0</v>
      </c>
      <c r="AB152" s="81">
        <f>IF(AA152,1,0)</f>
        <v>0</v>
      </c>
      <c r="AN152" s="81" t="str">
        <f>C152</f>
        <v>BOATING</v>
      </c>
      <c r="AO152" s="387">
        <f>$D$151*(Q152-P152)</f>
        <v>200</v>
      </c>
      <c r="AQ152" s="641">
        <v>1559</v>
      </c>
      <c r="AR152" t="s">
        <v>2339</v>
      </c>
      <c r="AS152" t="s">
        <v>2340</v>
      </c>
      <c r="AT152" t="s">
        <v>2336</v>
      </c>
      <c r="AU152" s="642">
        <v>1512245</v>
      </c>
    </row>
    <row r="153" spans="1:47" ht="12.9" x14ac:dyDescent="0.35">
      <c r="A153" s="406">
        <f>SUM(Q151:Q154)</f>
        <v>100</v>
      </c>
      <c r="B153" s="407"/>
      <c r="C153" s="407" t="s">
        <v>900</v>
      </c>
      <c r="D153" s="937"/>
      <c r="E153" s="408">
        <v>40</v>
      </c>
      <c r="F153" s="407"/>
      <c r="G153" s="539">
        <f>IF(U151="",0,IF(T151&gt;=98,1,IF(T151&gt;=83,2,IF(T151&gt;=68,3,IF(T151&gt;=48,4,5)))))</f>
        <v>0</v>
      </c>
      <c r="H153" s="386">
        <f>IF(SUM(AC163:AC165)+SUM(AC168:AC173)+AC178=10,1,0)</f>
        <v>0</v>
      </c>
      <c r="I153" s="408" t="b">
        <f>IF(AA162=TRUE,TRUE,FALSE)</f>
        <v>0</v>
      </c>
      <c r="J153" s="411" t="b">
        <f>IF(G153=1,TRUE,FALSE)</f>
        <v>0</v>
      </c>
      <c r="K153" s="412" t="b">
        <f>IF(G153=2,TRUE,FALSE)</f>
        <v>0</v>
      </c>
      <c r="L153" s="411" t="b">
        <f>IF(G153=3,TRUE,FALSE)</f>
        <v>0</v>
      </c>
      <c r="M153" s="411" t="b">
        <f>IF(G153=4,TRUE,FALSE)</f>
        <v>0</v>
      </c>
      <c r="N153" s="411" t="b">
        <f>IF(G153=5,TRUE,FALSE)</f>
        <v>0</v>
      </c>
      <c r="O153" s="407"/>
      <c r="P153" s="408">
        <f>IF(I153=TRUE,0,IF(J153=TRUE,E153,IF(K153=TRUE,E153*0.85,IF(L153=TRUE,E153*0.7,IF(M153=TRUE,E153*0.5,0)))))</f>
        <v>0</v>
      </c>
      <c r="Q153" s="413">
        <f>IF(I153=TRUE,0,E153)</f>
        <v>40</v>
      </c>
      <c r="S153" s="81" t="s">
        <v>1638</v>
      </c>
      <c r="T153" s="81">
        <f>IF(AA164=2,5,0)</f>
        <v>0</v>
      </c>
      <c r="Z153" s="526" t="s">
        <v>1077</v>
      </c>
      <c r="AB153" s="81">
        <f>IF(AA153,1,0)</f>
        <v>0</v>
      </c>
      <c r="AN153" s="81" t="str">
        <f>C153</f>
        <v>PROTECTIVE MEASURES</v>
      </c>
      <c r="AP153" s="387">
        <f>$D$151*(Q153-P153)</f>
        <v>800</v>
      </c>
      <c r="AQ153" s="641">
        <v>1563</v>
      </c>
      <c r="AR153" t="s">
        <v>2341</v>
      </c>
      <c r="AS153" t="s">
        <v>2342</v>
      </c>
      <c r="AT153" t="s">
        <v>2336</v>
      </c>
      <c r="AU153" s="642">
        <v>1221379</v>
      </c>
    </row>
    <row r="154" spans="1:47" ht="12.9" x14ac:dyDescent="0.35">
      <c r="A154" s="414" t="str">
        <f>IF(C150=1,"NO EXPOSURE",IF(H150=4,A152/A153,"grade(s) missing"))</f>
        <v>grade(s) missing</v>
      </c>
      <c r="B154" s="379">
        <f>IF(A154="grade(s) missing",0,1)</f>
        <v>0</v>
      </c>
      <c r="C154" s="407" t="s">
        <v>899</v>
      </c>
      <c r="D154" s="937"/>
      <c r="E154" s="408">
        <v>40</v>
      </c>
      <c r="F154" s="407"/>
      <c r="G154" s="539">
        <f>IF(U162="",0,IF(T162&gt;=98,1,IF(T162&gt;=83,2,IF(T162&gt;=68,3,IF(T162&gt;=48,4,5)))))</f>
        <v>0</v>
      </c>
      <c r="H154" s="386">
        <f>IF(SUM(AC179:AC185)=7,1,0)</f>
        <v>0</v>
      </c>
      <c r="I154" s="408" t="b">
        <f>IF(AA162=TRUE,TRUE,FALSE)</f>
        <v>0</v>
      </c>
      <c r="J154" s="411" t="b">
        <f>IF(G154=1,TRUE,FALSE)</f>
        <v>0</v>
      </c>
      <c r="K154" s="412" t="b">
        <f>IF(G154=2,TRUE,FALSE)</f>
        <v>0</v>
      </c>
      <c r="L154" s="411" t="b">
        <f>IF(G154=3,TRUE,FALSE)</f>
        <v>0</v>
      </c>
      <c r="M154" s="411" t="b">
        <f>IF(G154=4,TRUE,FALSE)</f>
        <v>0</v>
      </c>
      <c r="N154" s="411" t="b">
        <f>IF(G154=5,TRUE,FALSE)</f>
        <v>0</v>
      </c>
      <c r="O154" s="407"/>
      <c r="P154" s="408">
        <f>IF(I154=TRUE,0,IF(J154=TRUE,E154,IF(K154=TRUE,E154*0.85,IF(L154=TRUE,E154*0.7,IF(M154=TRUE,E154*0.5,0)))))</f>
        <v>0</v>
      </c>
      <c r="Q154" s="413">
        <f>IF(I154=TRUE,0,E154)</f>
        <v>40</v>
      </c>
      <c r="S154" s="81" t="s">
        <v>1639</v>
      </c>
      <c r="T154" s="81">
        <f>SUM(AB165:AB166)</f>
        <v>0</v>
      </c>
      <c r="Z154" s="526" t="s">
        <v>994</v>
      </c>
      <c r="AB154" s="81">
        <f>IF(AA154,1,0)</f>
        <v>0</v>
      </c>
      <c r="AN154" s="81" t="s">
        <v>1637</v>
      </c>
      <c r="AO154" s="387">
        <f>AP153*(0.15)</f>
        <v>120</v>
      </c>
      <c r="AQ154" s="641">
        <v>1565</v>
      </c>
      <c r="AR154" t="s">
        <v>2343</v>
      </c>
      <c r="AS154" t="s">
        <v>2344</v>
      </c>
      <c r="AT154" t="s">
        <v>2336</v>
      </c>
      <c r="AU154" s="642">
        <v>99010</v>
      </c>
    </row>
    <row r="155" spans="1:47" ht="13.3" thickBot="1" x14ac:dyDescent="0.4">
      <c r="A155" s="432" t="str">
        <f>IF(C150=1,"NO GRADE",IF(A154="grade(s) missing","",IF(A154&gt;=0.98,"DIAMOND MEDAL",IF(A154&gt;=0.83,"PLATINUM MEDAL",IF(A154&gt;=0.68,"GOLD MEDAL",IF(A154&gt;=0.48,"YELLOW FLAG","RED FLAG"))))))</f>
        <v/>
      </c>
      <c r="B155" s="418"/>
      <c r="C155" s="418"/>
      <c r="D155" s="938"/>
      <c r="E155" s="419"/>
      <c r="F155" s="418"/>
      <c r="G155" s="419"/>
      <c r="H155" s="418"/>
      <c r="I155" s="540"/>
      <c r="J155" s="419"/>
      <c r="K155" s="419"/>
      <c r="L155" s="419"/>
      <c r="M155" s="419"/>
      <c r="N155" s="419"/>
      <c r="O155" s="418"/>
      <c r="P155" s="419"/>
      <c r="Q155" s="424">
        <f>E155</f>
        <v>0</v>
      </c>
      <c r="S155" s="81" t="s">
        <v>1640</v>
      </c>
      <c r="T155" s="81">
        <f>IF(AA168=2,5,0)</f>
        <v>0</v>
      </c>
      <c r="Z155" s="526" t="s">
        <v>995</v>
      </c>
      <c r="AN155" s="81" t="s">
        <v>1638</v>
      </c>
      <c r="AO155" s="387">
        <f>AP153*(0.05)</f>
        <v>40</v>
      </c>
      <c r="AQ155" s="641">
        <v>1567</v>
      </c>
      <c r="AR155" t="s">
        <v>2345</v>
      </c>
      <c r="AS155" t="s">
        <v>2346</v>
      </c>
      <c r="AT155" t="s">
        <v>2336</v>
      </c>
      <c r="AU155" s="642">
        <v>1481886</v>
      </c>
    </row>
    <row r="156" spans="1:47" ht="13.75" thickTop="1" thickBot="1" x14ac:dyDescent="0.4">
      <c r="H156" s="419">
        <f>SUM(H157:H163)</f>
        <v>0</v>
      </c>
      <c r="S156" s="81" t="s">
        <v>1641</v>
      </c>
      <c r="T156" s="81">
        <f>IF(AA169=2,10,0)</f>
        <v>0</v>
      </c>
      <c r="Z156" s="526" t="s">
        <v>591</v>
      </c>
      <c r="AA156" s="81" t="b">
        <v>0</v>
      </c>
      <c r="AB156" s="81">
        <f>IF(AA162,1,IF(AA156,1,0))</f>
        <v>0</v>
      </c>
      <c r="AC156" s="81">
        <f>IF(SUM(AB157:AB160)&gt;0,3,0)</f>
        <v>0</v>
      </c>
      <c r="AD156" s="371">
        <v>0</v>
      </c>
      <c r="AE156" s="81">
        <f>IF(AC156+AD156=1,1,0)</f>
        <v>0</v>
      </c>
      <c r="AF156" s="81">
        <f>IF(AC156+AE156&gt;1,1,0)</f>
        <v>0</v>
      </c>
      <c r="AN156" s="81" t="s">
        <v>1639</v>
      </c>
      <c r="AO156" s="387">
        <f>AP153*(0.15)</f>
        <v>120</v>
      </c>
      <c r="AQ156" s="641">
        <v>1575</v>
      </c>
      <c r="AR156" t="s">
        <v>2347</v>
      </c>
      <c r="AS156" t="s">
        <v>2348</v>
      </c>
      <c r="AT156" t="s">
        <v>2336</v>
      </c>
      <c r="AU156" s="642">
        <v>1917892</v>
      </c>
    </row>
    <row r="157" spans="1:47" ht="13.3" thickTop="1" x14ac:dyDescent="0.35">
      <c r="A157" s="534" t="s">
        <v>907</v>
      </c>
      <c r="B157" s="535"/>
      <c r="C157" s="535" t="s">
        <v>1657</v>
      </c>
      <c r="D157" s="936">
        <v>20</v>
      </c>
      <c r="E157" s="536">
        <v>20</v>
      </c>
      <c r="F157" s="535"/>
      <c r="G157" s="541">
        <f>IF(U170="",0,IF(T170&gt;=98,1,IF(T170&gt;=83,2,IF(T170&gt;=68,3,IF(T170&gt;=48,4,5)))))</f>
        <v>0</v>
      </c>
      <c r="H157" s="535">
        <f>IF(I157=TRUE,1,IF(U170&gt;"",1,0))</f>
        <v>0</v>
      </c>
      <c r="I157" s="536" t="b">
        <f>IF(AC186,TRUE,FALSE)</f>
        <v>0</v>
      </c>
      <c r="J157" s="400" t="b">
        <f t="shared" ref="J157:J163" si="53">IF(I157,FALSE,IF(G157=1,TRUE,FALSE))</f>
        <v>0</v>
      </c>
      <c r="K157" s="401" t="b">
        <f t="shared" ref="K157:K163" si="54">IF(I157,FALSE,IF(G157=2,TRUE,FALSE))</f>
        <v>0</v>
      </c>
      <c r="L157" s="400" t="b">
        <f t="shared" ref="L157:L163" si="55">IF(I157,FALSE,IF(G157=3,TRUE,FALSE))</f>
        <v>0</v>
      </c>
      <c r="M157" s="400" t="b">
        <f t="shared" ref="M157:M163" si="56">IF(I157,FALSE,IF(G157=4,TRUE,FALSE))</f>
        <v>0</v>
      </c>
      <c r="N157" s="400" t="b">
        <f t="shared" ref="N157:N163" si="57">IF(I157,FALSE,IF(G157=5,TRUE,FALSE))</f>
        <v>0</v>
      </c>
      <c r="O157" s="535"/>
      <c r="P157" s="395">
        <f t="shared" ref="P157:P163" si="58">IF(J157=TRUE,E157,IF(K157=TRUE,E157*0.85,IF(L157=TRUE,E157*0.7,IF(M157=TRUE,E157*0.5,0))))</f>
        <v>0</v>
      </c>
      <c r="Q157" s="537">
        <f>IF(I157,0,E157)</f>
        <v>20</v>
      </c>
      <c r="R157" s="81">
        <f>IF(I157=TRUE,1,0)</f>
        <v>0</v>
      </c>
      <c r="S157" s="81" t="s">
        <v>1642</v>
      </c>
      <c r="T157" s="81">
        <f>IF(AA170=2,10,0)</f>
        <v>0</v>
      </c>
      <c r="Z157" s="526" t="s">
        <v>994</v>
      </c>
      <c r="AA157" s="81" t="b">
        <v>0</v>
      </c>
      <c r="AB157" s="81">
        <f>IF(AA157,1,0)</f>
        <v>0</v>
      </c>
      <c r="AN157" s="81" t="s">
        <v>1640</v>
      </c>
      <c r="AO157" s="387">
        <f>AP153*(0.05)</f>
        <v>40</v>
      </c>
      <c r="AQ157" s="641">
        <v>1579</v>
      </c>
      <c r="AR157" t="s">
        <v>2349</v>
      </c>
      <c r="AS157" t="s">
        <v>2348</v>
      </c>
      <c r="AT157" t="s">
        <v>2336</v>
      </c>
      <c r="AU157" s="642">
        <v>724786</v>
      </c>
    </row>
    <row r="158" spans="1:47" ht="12.9" x14ac:dyDescent="0.35">
      <c r="A158" s="406">
        <f>SUM(P157:P163)</f>
        <v>0</v>
      </c>
      <c r="B158" s="407"/>
      <c r="C158" s="407" t="s">
        <v>1633</v>
      </c>
      <c r="D158" s="937"/>
      <c r="E158" s="408">
        <v>20</v>
      </c>
      <c r="F158" s="407"/>
      <c r="G158" s="539">
        <f>IF(U176="",0,IF(T176&gt;=98,1,IF(T176&gt;=83,2,IF(T176&gt;=68,3,IF(T176&gt;=48,4,5)))))</f>
        <v>0</v>
      </c>
      <c r="H158" s="407">
        <f>IF(I158=TRUE,1,IF(U176&gt;"",1,0))</f>
        <v>0</v>
      </c>
      <c r="I158" s="408" t="b">
        <f>IF(AA206,TRUE,FALSE)</f>
        <v>0</v>
      </c>
      <c r="J158" s="411" t="b">
        <f t="shared" si="53"/>
        <v>0</v>
      </c>
      <c r="K158" s="412" t="b">
        <f t="shared" si="54"/>
        <v>0</v>
      </c>
      <c r="L158" s="411" t="b">
        <f t="shared" si="55"/>
        <v>0</v>
      </c>
      <c r="M158" s="411" t="b">
        <f t="shared" si="56"/>
        <v>0</v>
      </c>
      <c r="N158" s="411" t="b">
        <f t="shared" si="57"/>
        <v>0</v>
      </c>
      <c r="O158" s="407"/>
      <c r="P158" s="408">
        <f t="shared" si="58"/>
        <v>0</v>
      </c>
      <c r="Q158" s="413">
        <f t="shared" ref="Q158:Q163" si="59">IF(I158=TRUE,0,E158)</f>
        <v>20</v>
      </c>
      <c r="R158" s="81">
        <f t="shared" ref="R158:R163" si="60">IF(I158=TRUE,1,0)</f>
        <v>0</v>
      </c>
      <c r="S158" s="81" t="s">
        <v>1643</v>
      </c>
      <c r="T158" s="81">
        <f>IF(AA171=2,5,0)</f>
        <v>0</v>
      </c>
      <c r="Z158" s="526" t="s">
        <v>996</v>
      </c>
      <c r="AA158" s="81" t="b">
        <v>0</v>
      </c>
      <c r="AB158" s="81">
        <f>IF(AA158,1,0)</f>
        <v>0</v>
      </c>
      <c r="AN158" s="81" t="s">
        <v>1641</v>
      </c>
      <c r="AO158" s="387">
        <f>AP153*(0.1)</f>
        <v>80</v>
      </c>
      <c r="AQ158" s="641">
        <v>1583</v>
      </c>
      <c r="AR158" t="s">
        <v>2350</v>
      </c>
      <c r="AS158" t="s">
        <v>2351</v>
      </c>
      <c r="AT158" t="s">
        <v>2336</v>
      </c>
      <c r="AU158" s="642">
        <v>83740911</v>
      </c>
    </row>
    <row r="159" spans="1:47" ht="12.9" x14ac:dyDescent="0.35">
      <c r="A159" s="406">
        <f>SUM(Q157:Q163)</f>
        <v>100</v>
      </c>
      <c r="B159" s="407"/>
      <c r="C159" s="407" t="s">
        <v>893</v>
      </c>
      <c r="D159" s="937"/>
      <c r="E159" s="408">
        <v>10</v>
      </c>
      <c r="F159" s="407"/>
      <c r="G159" s="539">
        <f>IF(U183="",0,IF(T183&gt;=98,1,IF(T183&gt;=83,2,IF(T183&gt;=68,3,IF(T183&gt;=48,4,5)))))</f>
        <v>0</v>
      </c>
      <c r="H159" s="407">
        <f>IF(I159=TRUE,1,IF(U183&gt;"",1,0))</f>
        <v>0</v>
      </c>
      <c r="I159" s="408" t="b">
        <f>IF(AA215,TRUE,FALSE)</f>
        <v>0</v>
      </c>
      <c r="J159" s="411" t="b">
        <f t="shared" si="53"/>
        <v>0</v>
      </c>
      <c r="K159" s="412" t="b">
        <f t="shared" si="54"/>
        <v>0</v>
      </c>
      <c r="L159" s="411" t="b">
        <f t="shared" si="55"/>
        <v>0</v>
      </c>
      <c r="M159" s="411" t="b">
        <f t="shared" si="56"/>
        <v>0</v>
      </c>
      <c r="N159" s="411" t="b">
        <f t="shared" si="57"/>
        <v>0</v>
      </c>
      <c r="O159" s="407"/>
      <c r="P159" s="408">
        <f t="shared" si="58"/>
        <v>0</v>
      </c>
      <c r="Q159" s="413">
        <f t="shared" si="59"/>
        <v>10</v>
      </c>
      <c r="R159" s="81">
        <f t="shared" si="60"/>
        <v>0</v>
      </c>
      <c r="S159" s="81" t="s">
        <v>1644</v>
      </c>
      <c r="T159" s="81">
        <f>IF(AA172=2,5,0)</f>
        <v>0</v>
      </c>
      <c r="Z159" s="526" t="s">
        <v>997</v>
      </c>
      <c r="AA159" s="81" t="b">
        <v>0</v>
      </c>
      <c r="AB159" s="81">
        <f>IF(AA159,1,0)</f>
        <v>0</v>
      </c>
      <c r="AN159" s="81" t="s">
        <v>1642</v>
      </c>
      <c r="AO159" s="387">
        <f>AP153*(0.1)</f>
        <v>80</v>
      </c>
      <c r="AQ159" s="641">
        <v>1731</v>
      </c>
      <c r="AR159" t="s">
        <v>2352</v>
      </c>
      <c r="AS159" t="s">
        <v>2353</v>
      </c>
      <c r="AT159" t="s">
        <v>2336</v>
      </c>
      <c r="AU159" s="642">
        <v>754444</v>
      </c>
    </row>
    <row r="160" spans="1:47" ht="12.9" x14ac:dyDescent="0.35">
      <c r="A160" s="414" t="str">
        <f>IF(R164=7,"NO EXPOSURE",IF(H156=7,A158/A159,"grade(s) missing"))</f>
        <v>grade(s) missing</v>
      </c>
      <c r="B160" s="379">
        <f>IF(A160="grade(s) missing",0,1)</f>
        <v>0</v>
      </c>
      <c r="C160" s="407" t="s">
        <v>892</v>
      </c>
      <c r="D160" s="937"/>
      <c r="E160" s="408">
        <v>10</v>
      </c>
      <c r="F160" s="407"/>
      <c r="G160" s="539">
        <f>IF(U186="",0,IF(T186&gt;=98,1,IF(T186&gt;=83,2,IF(T186&gt;=68,3,IF(T186&gt;=48,4,5)))))</f>
        <v>0</v>
      </c>
      <c r="H160" s="407">
        <f>IF(I160=TRUE,1,IF(U186&gt;"",1,0))</f>
        <v>0</v>
      </c>
      <c r="I160" s="408" t="b">
        <f>IF(AA224,TRUE,FALSE)</f>
        <v>0</v>
      </c>
      <c r="J160" s="411" t="b">
        <f t="shared" si="53"/>
        <v>0</v>
      </c>
      <c r="K160" s="412" t="b">
        <f t="shared" si="54"/>
        <v>0</v>
      </c>
      <c r="L160" s="411" t="b">
        <f t="shared" si="55"/>
        <v>0</v>
      </c>
      <c r="M160" s="411" t="b">
        <f t="shared" si="56"/>
        <v>0</v>
      </c>
      <c r="N160" s="411" t="b">
        <f t="shared" si="57"/>
        <v>0</v>
      </c>
      <c r="O160" s="407"/>
      <c r="P160" s="408">
        <f t="shared" si="58"/>
        <v>0</v>
      </c>
      <c r="Q160" s="413">
        <f t="shared" si="59"/>
        <v>10</v>
      </c>
      <c r="R160" s="81">
        <f t="shared" si="60"/>
        <v>0</v>
      </c>
      <c r="S160" s="371" t="s">
        <v>1645</v>
      </c>
      <c r="T160" s="81">
        <f>SUM(AB173:AB177)</f>
        <v>0</v>
      </c>
      <c r="Z160" s="526" t="s">
        <v>998</v>
      </c>
      <c r="AA160" s="81" t="b">
        <v>0</v>
      </c>
      <c r="AB160" s="81">
        <f>IF(AA160,1,0)</f>
        <v>0</v>
      </c>
      <c r="AC160" s="81">
        <f>IF(SUM(AB158:AB160)&gt;0,1,0)</f>
        <v>0</v>
      </c>
      <c r="AN160" s="81" t="s">
        <v>1643</v>
      </c>
      <c r="AO160" s="387">
        <f>AP153*(0.05)</f>
        <v>40</v>
      </c>
      <c r="AQ160" s="641">
        <v>1735</v>
      </c>
      <c r="AR160" t="s">
        <v>2354</v>
      </c>
      <c r="AS160" t="s">
        <v>2355</v>
      </c>
      <c r="AT160" t="s">
        <v>2336</v>
      </c>
      <c r="AU160" s="642">
        <v>1356991</v>
      </c>
    </row>
    <row r="161" spans="1:47" ht="12.9" x14ac:dyDescent="0.35">
      <c r="A161" s="415" t="str">
        <f>IF(R164=7,"NO GRADE",IF(A160="grade(s) missing","",IF(A160&gt;=0.98,"DIAMOND MEDAL",IF(A160&gt;=0.83,"PLATINUM MEDAL",IF(A160&gt;=0.68,"GOLD MEDAL",IF(A160&gt;=0.48,"YELLOW FLAG","RED FLAG"))))))</f>
        <v/>
      </c>
      <c r="B161" s="407"/>
      <c r="C161" s="407" t="s">
        <v>891</v>
      </c>
      <c r="D161" s="937"/>
      <c r="E161" s="408">
        <v>10</v>
      </c>
      <c r="F161" s="407"/>
      <c r="G161" s="539">
        <f>IF(U192="",0,IF(T192&gt;=98,1,IF(T192&gt;=83,2,IF(T192&gt;=68,3,IF(T192&gt;=48,4,5)))))</f>
        <v>0</v>
      </c>
      <c r="H161" s="407">
        <f>IF(I161=TRUE,1,IF(U192&gt;"",1,0))</f>
        <v>0</v>
      </c>
      <c r="I161" s="408" t="b">
        <f>IF(AB236,TRUE,FALSE)</f>
        <v>0</v>
      </c>
      <c r="J161" s="411" t="b">
        <f t="shared" si="53"/>
        <v>0</v>
      </c>
      <c r="K161" s="412" t="b">
        <f t="shared" si="54"/>
        <v>0</v>
      </c>
      <c r="L161" s="411" t="b">
        <f t="shared" si="55"/>
        <v>0</v>
      </c>
      <c r="M161" s="411" t="b">
        <f t="shared" si="56"/>
        <v>0</v>
      </c>
      <c r="N161" s="411" t="b">
        <f t="shared" si="57"/>
        <v>0</v>
      </c>
      <c r="O161" s="407"/>
      <c r="P161" s="408">
        <f t="shared" si="58"/>
        <v>0</v>
      </c>
      <c r="Q161" s="413">
        <f t="shared" si="59"/>
        <v>10</v>
      </c>
      <c r="R161" s="81">
        <f t="shared" si="60"/>
        <v>0</v>
      </c>
      <c r="S161" s="81" t="s">
        <v>1646</v>
      </c>
      <c r="T161" s="81">
        <f>IF(AA178=2,15,0)</f>
        <v>0</v>
      </c>
      <c r="AN161" s="81" t="s">
        <v>1644</v>
      </c>
      <c r="AO161" s="387">
        <f>AP153*(0.05)</f>
        <v>40</v>
      </c>
      <c r="AQ161" s="641">
        <v>1739</v>
      </c>
      <c r="AR161" t="s">
        <v>2356</v>
      </c>
      <c r="AS161" t="s">
        <v>2357</v>
      </c>
      <c r="AT161" t="s">
        <v>2336</v>
      </c>
      <c r="AU161" s="642">
        <v>3211171</v>
      </c>
    </row>
    <row r="162" spans="1:47" ht="12.9" x14ac:dyDescent="0.35">
      <c r="A162" s="416"/>
      <c r="B162" s="407"/>
      <c r="C162" s="407" t="s">
        <v>889</v>
      </c>
      <c r="D162" s="937"/>
      <c r="E162" s="408">
        <v>10</v>
      </c>
      <c r="F162" s="407"/>
      <c r="G162" s="539">
        <f>IF(U197="",0,IF(T197&gt;=98,1,IF(T197&gt;=83,2,IF(T197&gt;=68,3,IF(T197&gt;=48,4,5)))))</f>
        <v>0</v>
      </c>
      <c r="H162" s="407">
        <f>IF(I162=TRUE,1,IF(U197&gt;"",1,0))</f>
        <v>0</v>
      </c>
      <c r="I162" s="408" t="b">
        <f>IF(AA243,TRUE,FALSE)</f>
        <v>0</v>
      </c>
      <c r="J162" s="411" t="b">
        <f t="shared" si="53"/>
        <v>0</v>
      </c>
      <c r="K162" s="412" t="b">
        <f t="shared" si="54"/>
        <v>0</v>
      </c>
      <c r="L162" s="411" t="b">
        <f t="shared" si="55"/>
        <v>0</v>
      </c>
      <c r="M162" s="411" t="b">
        <f t="shared" si="56"/>
        <v>0</v>
      </c>
      <c r="N162" s="411" t="b">
        <f t="shared" si="57"/>
        <v>0</v>
      </c>
      <c r="O162" s="407"/>
      <c r="P162" s="408">
        <f t="shared" si="58"/>
        <v>0</v>
      </c>
      <c r="Q162" s="413">
        <f t="shared" si="59"/>
        <v>10</v>
      </c>
      <c r="R162" s="81">
        <f t="shared" si="60"/>
        <v>0</v>
      </c>
      <c r="S162" s="371" t="s">
        <v>899</v>
      </c>
      <c r="T162" s="391">
        <f>100-SUM(T163:T169)</f>
        <v>100</v>
      </c>
      <c r="U162" s="461" t="str">
        <f>IF(SUM(AC179:AC185)&lt;7,"",IF(T162&gt;=98,"DIAMOND MEDAL",IF(T162&gt;=83,"PLATINUM MEDAL",IF(T162&gt;=68,"GOLD MEDAL",IF(T162&gt;=48,"YELLOW FLAG","RED FLAG")))))</f>
        <v/>
      </c>
      <c r="Z162" s="526" t="s">
        <v>1016</v>
      </c>
      <c r="AA162" s="81" t="b">
        <v>0</v>
      </c>
      <c r="AB162" s="81">
        <f>IF(AA162,1,0)</f>
        <v>0</v>
      </c>
      <c r="AN162" s="371" t="s">
        <v>1645</v>
      </c>
      <c r="AO162" s="387">
        <f>AP153*(0.15)</f>
        <v>120</v>
      </c>
      <c r="AQ162" s="641">
        <v>1743</v>
      </c>
      <c r="AR162" t="s">
        <v>2358</v>
      </c>
      <c r="AS162" t="s">
        <v>2359</v>
      </c>
      <c r="AT162" t="s">
        <v>2336</v>
      </c>
      <c r="AU162" s="642">
        <v>2795149</v>
      </c>
    </row>
    <row r="163" spans="1:47" ht="12.9" x14ac:dyDescent="0.35">
      <c r="A163" s="416"/>
      <c r="B163" s="407"/>
      <c r="C163" s="440" t="s">
        <v>1634</v>
      </c>
      <c r="D163" s="937"/>
      <c r="E163" s="408">
        <v>20</v>
      </c>
      <c r="F163" s="407"/>
      <c r="G163" s="408">
        <f>IF(Camping!AK344="DIAMOND MEDAL",1,IF(Camping!AK344="PLATINUM MEDAL",2, IF(Camping!AK344="GOLD MEDAL",3,IF(Camping!AK344="YELLOW FLAG",4,IF(Camping!AK344="RED FLAG",5,0)))))</f>
        <v>0</v>
      </c>
      <c r="H163" s="386">
        <f>IF(I163=TRUE,1,IF(G163&gt;0,1,0))</f>
        <v>0</v>
      </c>
      <c r="I163" s="408" t="b">
        <f>IF(Camping!E346="NONE",TRUE,FALSE)</f>
        <v>0</v>
      </c>
      <c r="J163" s="411" t="b">
        <f t="shared" si="53"/>
        <v>0</v>
      </c>
      <c r="K163" s="412" t="b">
        <f t="shared" si="54"/>
        <v>0</v>
      </c>
      <c r="L163" s="411" t="b">
        <f t="shared" si="55"/>
        <v>0</v>
      </c>
      <c r="M163" s="411" t="b">
        <f t="shared" si="56"/>
        <v>0</v>
      </c>
      <c r="N163" s="411" t="b">
        <f t="shared" si="57"/>
        <v>0</v>
      </c>
      <c r="O163" s="407"/>
      <c r="P163" s="408">
        <f t="shared" si="58"/>
        <v>0</v>
      </c>
      <c r="Q163" s="413">
        <f t="shared" si="59"/>
        <v>20</v>
      </c>
      <c r="R163" s="81">
        <f t="shared" si="60"/>
        <v>0</v>
      </c>
      <c r="S163" s="81" t="s">
        <v>1647</v>
      </c>
      <c r="T163" s="81">
        <f>IF(AA179=2,20,0)</f>
        <v>0</v>
      </c>
      <c r="X163" s="526" t="s">
        <v>900</v>
      </c>
      <c r="Z163" s="526" t="s">
        <v>1011</v>
      </c>
      <c r="AA163" s="81">
        <v>0</v>
      </c>
      <c r="AC163" s="81">
        <f>IF(AA150,1,IF(AA163&gt;0,1,0))</f>
        <v>0</v>
      </c>
      <c r="AE163" s="462"/>
      <c r="AF163" s="462" t="s">
        <v>1857</v>
      </c>
      <c r="AG163" s="462">
        <f>IF(AA163&lt;&gt;1,0,IF(LEFT(Camping!M121,8)="Describe",1,IF(Camping!M121="",1,0)))</f>
        <v>0</v>
      </c>
      <c r="AH163" s="466">
        <f>IF(SUM(AG163:AG168)&gt;0,0,1)</f>
        <v>1</v>
      </c>
      <c r="AI163" s="81" t="s">
        <v>1858</v>
      </c>
      <c r="AN163" s="81" t="s">
        <v>1646</v>
      </c>
      <c r="AO163" s="387">
        <f>AP153*(0.15)</f>
        <v>120</v>
      </c>
      <c r="AP163" s="387">
        <f>SUM(AO154:AO163)</f>
        <v>800</v>
      </c>
      <c r="AQ163" s="641">
        <v>1747</v>
      </c>
      <c r="AR163" t="s">
        <v>2360</v>
      </c>
      <c r="AS163" t="s">
        <v>2361</v>
      </c>
      <c r="AT163" t="s">
        <v>2336</v>
      </c>
      <c r="AU163" s="642">
        <v>1213710</v>
      </c>
    </row>
    <row r="164" spans="1:47" ht="13.3" thickBot="1" x14ac:dyDescent="0.4">
      <c r="A164" s="417"/>
      <c r="B164" s="418"/>
      <c r="C164" s="418"/>
      <c r="D164" s="938"/>
      <c r="E164" s="419"/>
      <c r="F164" s="418"/>
      <c r="G164" s="419"/>
      <c r="H164" s="418"/>
      <c r="I164" s="418"/>
      <c r="J164" s="419"/>
      <c r="K164" s="419"/>
      <c r="L164" s="419"/>
      <c r="M164" s="419"/>
      <c r="N164" s="419"/>
      <c r="O164" s="418"/>
      <c r="P164" s="419"/>
      <c r="Q164" s="424">
        <f>E164</f>
        <v>0</v>
      </c>
      <c r="R164" s="81">
        <f>SUM(R157:R163)</f>
        <v>0</v>
      </c>
      <c r="S164" s="81" t="s">
        <v>1648</v>
      </c>
      <c r="T164" s="81">
        <f>IF(AA180=2,10,0)</f>
        <v>0</v>
      </c>
      <c r="Z164" s="526" t="s">
        <v>1012</v>
      </c>
      <c r="AA164" s="81">
        <v>0</v>
      </c>
      <c r="AC164" s="81">
        <f>IF(AA150,1,IF(AA164&gt;0,1,0))</f>
        <v>0</v>
      </c>
      <c r="AE164" s="462"/>
      <c r="AF164" s="81" t="s">
        <v>1892</v>
      </c>
      <c r="AG164" s="462">
        <f>IF(AA164&lt;&gt;1,0,IF(LEFT(Camping!M125,8)="Describe",1,IF(Camping!M125="",1,0)))</f>
        <v>0</v>
      </c>
      <c r="AH164" s="466"/>
      <c r="AN164" s="81" t="str">
        <f>C154</f>
        <v>LIFEGUARDING</v>
      </c>
      <c r="AP164" s="387">
        <f>$D$151*(Q154-P154)</f>
        <v>800</v>
      </c>
      <c r="AQ164" s="641">
        <v>1751</v>
      </c>
      <c r="AR164" t="s">
        <v>2362</v>
      </c>
      <c r="AS164" t="s">
        <v>2363</v>
      </c>
      <c r="AT164" t="s">
        <v>2336</v>
      </c>
      <c r="AU164" s="642">
        <v>11357255</v>
      </c>
    </row>
    <row r="165" spans="1:47" ht="13.75" thickTop="1" thickBot="1" x14ac:dyDescent="0.4">
      <c r="H165" s="93">
        <f>SUM(H166:H170)</f>
        <v>0</v>
      </c>
      <c r="I165" s="425" t="s">
        <v>167</v>
      </c>
      <c r="J165" s="425" t="s">
        <v>172</v>
      </c>
      <c r="K165" s="425" t="s">
        <v>168</v>
      </c>
      <c r="L165" s="425" t="s">
        <v>169</v>
      </c>
      <c r="M165" s="425" t="s">
        <v>170</v>
      </c>
      <c r="N165" s="425" t="s">
        <v>171</v>
      </c>
      <c r="S165" s="81" t="s">
        <v>1649</v>
      </c>
      <c r="T165" s="81">
        <f>IF(AA181=2,20,0)</f>
        <v>0</v>
      </c>
      <c r="Z165" s="526" t="s">
        <v>1013</v>
      </c>
      <c r="AA165" s="81">
        <v>0</v>
      </c>
      <c r="AB165" s="81">
        <f>IF(AA165=2,15,0)</f>
        <v>0</v>
      </c>
      <c r="AC165" s="81">
        <f>IF(AA150,1,IF(AA165&gt;0,1,0))</f>
        <v>0</v>
      </c>
      <c r="AE165" s="462"/>
      <c r="AF165" s="462" t="s">
        <v>1859</v>
      </c>
      <c r="AG165" s="462">
        <f>IF(AA165&lt;&gt;1,0,IF(LEFT(Camping!M129,8)="Describe",1,IF(Camping!M129="",1,0)))</f>
        <v>0</v>
      </c>
      <c r="AH165" s="466"/>
      <c r="AN165" s="81" t="s">
        <v>1647</v>
      </c>
      <c r="AO165" s="387">
        <f>AP164*(0.2)</f>
        <v>160</v>
      </c>
      <c r="AQ165" s="641">
        <v>1752</v>
      </c>
      <c r="AR165" t="s">
        <v>2364</v>
      </c>
      <c r="AS165" t="s">
        <v>2365</v>
      </c>
      <c r="AT165" t="s">
        <v>2336</v>
      </c>
      <c r="AU165" s="642">
        <v>172033</v>
      </c>
    </row>
    <row r="166" spans="1:47" ht="13.3" thickTop="1" x14ac:dyDescent="0.35">
      <c r="A166" s="437" t="s">
        <v>186</v>
      </c>
      <c r="B166" s="394"/>
      <c r="C166" s="535" t="s">
        <v>1535</v>
      </c>
      <c r="D166" s="935">
        <v>15</v>
      </c>
      <c r="E166" s="542">
        <v>30</v>
      </c>
      <c r="F166" s="535"/>
      <c r="G166" s="543">
        <v>0</v>
      </c>
      <c r="H166" s="544">
        <f>IF(G166&gt;0,1,0)</f>
        <v>0</v>
      </c>
      <c r="I166" s="545"/>
      <c r="J166" s="546" t="b">
        <f>IF(G166=1,TRUE,FALSE)</f>
        <v>0</v>
      </c>
      <c r="K166" s="547" t="b">
        <f>IF(G166=2,TRUE,FALSE)</f>
        <v>0</v>
      </c>
      <c r="L166" s="546" t="b">
        <f>IF(G166=3,TRUE,FALSE)</f>
        <v>0</v>
      </c>
      <c r="M166" s="546" t="b">
        <f>IF(G166=4,TRUE,FALSE)</f>
        <v>0</v>
      </c>
      <c r="N166" s="546" t="b">
        <f>IF(G166=5,TRUE,FALSE)</f>
        <v>0</v>
      </c>
      <c r="O166" s="535"/>
      <c r="P166" s="536">
        <f>IF(J166=TRUE,E166,IF(K166=TRUE,E166*0.85,IF(L166=TRUE,E166*0.7,IF(M166=TRUE,E166*0.5,0))))</f>
        <v>0</v>
      </c>
      <c r="Q166" s="537">
        <f>IF(I166=TRUE,0,E166)</f>
        <v>30</v>
      </c>
      <c r="R166" s="386"/>
      <c r="S166" s="81" t="s">
        <v>1650</v>
      </c>
      <c r="T166" s="81">
        <f>IF(AA182=2,15,0)</f>
        <v>0</v>
      </c>
      <c r="Z166" s="526" t="s">
        <v>1014</v>
      </c>
      <c r="AA166" s="81">
        <v>0</v>
      </c>
      <c r="AB166" s="81">
        <f>IF(AA166=1,-5,0)</f>
        <v>0</v>
      </c>
      <c r="AE166" s="462"/>
      <c r="AF166" s="462" t="s">
        <v>1860</v>
      </c>
      <c r="AG166" s="462">
        <f>IF(AA166&lt;&gt;1,0,IF(LEFT(Camping!M133,8)="Describe",1,IF(Camping!M133="",1,0)))</f>
        <v>0</v>
      </c>
      <c r="AH166" s="466"/>
      <c r="AN166" s="81" t="s">
        <v>1648</v>
      </c>
      <c r="AO166" s="387">
        <f>AP164*(0.1)</f>
        <v>80</v>
      </c>
      <c r="AQ166" s="641">
        <v>1755</v>
      </c>
      <c r="AR166" t="s">
        <v>2366</v>
      </c>
      <c r="AS166" t="s">
        <v>2367</v>
      </c>
      <c r="AT166" t="s">
        <v>2336</v>
      </c>
      <c r="AU166" s="642">
        <v>5689238</v>
      </c>
    </row>
    <row r="167" spans="1:47" ht="12.9" x14ac:dyDescent="0.35">
      <c r="A167" s="406">
        <f>SUM(P166:P170)</f>
        <v>0</v>
      </c>
      <c r="B167" s="407"/>
      <c r="C167" s="407" t="s">
        <v>904</v>
      </c>
      <c r="D167" s="931"/>
      <c r="E167" s="408">
        <v>20</v>
      </c>
      <c r="F167" s="407"/>
      <c r="G167" s="409">
        <v>0</v>
      </c>
      <c r="H167" s="376">
        <f>IF(G167&gt;0,1,0)</f>
        <v>0</v>
      </c>
      <c r="I167" s="411" t="b">
        <f>IF(G167=6,TRUE,FALSE)</f>
        <v>0</v>
      </c>
      <c r="J167" s="411" t="b">
        <f>IF(G167=1,TRUE,FALSE)</f>
        <v>0</v>
      </c>
      <c r="K167" s="412" t="b">
        <f>IF(G167=2,TRUE,FALSE)</f>
        <v>0</v>
      </c>
      <c r="L167" s="411" t="b">
        <f>IF(G167=3,TRUE,FALSE)</f>
        <v>0</v>
      </c>
      <c r="M167" s="411" t="b">
        <f>IF(G167=4,TRUE,FALSE)</f>
        <v>0</v>
      </c>
      <c r="N167" s="411" t="b">
        <f>IF(G167=5,TRUE,FALSE)</f>
        <v>0</v>
      </c>
      <c r="O167" s="407"/>
      <c r="P167" s="408">
        <f>IF(J167=TRUE,E167,IF(K167=TRUE,E167*0.85,IF(L167=TRUE,E167*0.7,IF(M167=TRUE,E167*0.5,0))))</f>
        <v>0</v>
      </c>
      <c r="Q167" s="413">
        <f>IF(I167=TRUE,0,E167)</f>
        <v>20</v>
      </c>
      <c r="R167" s="386"/>
      <c r="S167" s="81" t="s">
        <v>1651</v>
      </c>
      <c r="T167" s="81">
        <f>IF(AA183=2,15,0)</f>
        <v>0</v>
      </c>
      <c r="Z167" s="526" t="s">
        <v>1015</v>
      </c>
      <c r="AA167" s="81">
        <v>0</v>
      </c>
      <c r="AE167" s="462"/>
      <c r="AF167" s="462" t="s">
        <v>1861</v>
      </c>
      <c r="AG167" s="462">
        <f>IF(AA167&lt;&gt;1,0,IF(LEFT(Camping!M137,8)="1) Descr",1,IF(Camping!M137="",1,0)))</f>
        <v>0</v>
      </c>
      <c r="AH167" s="466"/>
      <c r="AN167" s="81" t="s">
        <v>1649</v>
      </c>
      <c r="AO167" s="387">
        <f>AP164*(0.2)</f>
        <v>160</v>
      </c>
      <c r="AQ167" s="641">
        <v>1757</v>
      </c>
      <c r="AR167" t="s">
        <v>2368</v>
      </c>
      <c r="AS167" t="s">
        <v>2369</v>
      </c>
      <c r="AT167" t="s">
        <v>2336</v>
      </c>
      <c r="AU167" s="642">
        <v>2906452</v>
      </c>
    </row>
    <row r="168" spans="1:47" ht="12.9" x14ac:dyDescent="0.35">
      <c r="A168" s="406">
        <f>SUM(Q166:Q170)</f>
        <v>100</v>
      </c>
      <c r="B168" s="407"/>
      <c r="C168" s="407" t="s">
        <v>190</v>
      </c>
      <c r="D168" s="931"/>
      <c r="E168" s="427">
        <v>20</v>
      </c>
      <c r="F168" s="407"/>
      <c r="G168" s="409">
        <v>0</v>
      </c>
      <c r="H168" s="376">
        <f>IF(G168&gt;0,1,0)</f>
        <v>0</v>
      </c>
      <c r="I168" s="548"/>
      <c r="J168" s="411" t="b">
        <f>IF(G168=1,TRUE,FALSE)</f>
        <v>0</v>
      </c>
      <c r="K168" s="412" t="b">
        <f>IF(G168=2,TRUE,FALSE)</f>
        <v>0</v>
      </c>
      <c r="L168" s="411" t="b">
        <f>IF(G168=3,TRUE,FALSE)</f>
        <v>0</v>
      </c>
      <c r="M168" s="411" t="b">
        <f>IF(G168=4,TRUE,FALSE)</f>
        <v>0</v>
      </c>
      <c r="N168" s="411" t="b">
        <f>IF(G168=5,TRUE,FALSE)</f>
        <v>0</v>
      </c>
      <c r="O168" s="407"/>
      <c r="P168" s="408">
        <f>IF(J168=TRUE,E168,IF(K168=TRUE,E168*0.85,IF(L168=TRUE,E168*0.7,IF(M168=TRUE,E168*0.5,0))))</f>
        <v>0</v>
      </c>
      <c r="Q168" s="413">
        <f>E168</f>
        <v>20</v>
      </c>
      <c r="R168" s="386"/>
      <c r="S168" s="81" t="s">
        <v>1652</v>
      </c>
      <c r="T168" s="81">
        <f>IF(AA184=2,10,0)</f>
        <v>0</v>
      </c>
      <c r="Z168" s="526" t="s">
        <v>1018</v>
      </c>
      <c r="AA168" s="81">
        <v>0</v>
      </c>
      <c r="AC168" s="81">
        <f>IF(AA150,1,IF(AA168&gt;0,1,0))</f>
        <v>0</v>
      </c>
      <c r="AE168" s="462"/>
      <c r="AF168" s="462" t="s">
        <v>1862</v>
      </c>
      <c r="AG168" s="462">
        <f>IF(AA178&lt;&gt;1,0,IF(LEFT(Camping!M175,8)="Describe",1,IF(Camping!M175="",1,0)))</f>
        <v>0</v>
      </c>
      <c r="AH168" s="466"/>
      <c r="AN168" s="81" t="s">
        <v>1650</v>
      </c>
      <c r="AO168" s="387">
        <f>AP164*(0.15)</f>
        <v>120</v>
      </c>
      <c r="AQ168" s="641">
        <v>1760</v>
      </c>
      <c r="AR168" t="s">
        <v>2370</v>
      </c>
      <c r="AS168" t="s">
        <v>2371</v>
      </c>
      <c r="AT168" t="s">
        <v>2336</v>
      </c>
      <c r="AU168" s="642">
        <v>2946811</v>
      </c>
    </row>
    <row r="169" spans="1:47" ht="12.9" x14ac:dyDescent="0.35">
      <c r="A169" s="414" t="str">
        <f>IF(H165=5,A167/A168,"grade(s) missing")</f>
        <v>grade(s) missing</v>
      </c>
      <c r="B169" s="379">
        <f>IF(A169="grade(s) missing",0,1)</f>
        <v>0</v>
      </c>
      <c r="C169" s="407" t="s">
        <v>723</v>
      </c>
      <c r="D169" s="931"/>
      <c r="E169" s="427">
        <v>20</v>
      </c>
      <c r="F169" s="407"/>
      <c r="G169" s="409">
        <v>0</v>
      </c>
      <c r="H169" s="376">
        <f>IF(G169&gt;0,1,0)</f>
        <v>0</v>
      </c>
      <c r="I169" s="548"/>
      <c r="J169" s="411" t="b">
        <f>IF(G169=1,TRUE,FALSE)</f>
        <v>0</v>
      </c>
      <c r="K169" s="412" t="b">
        <f>IF(G169=2,TRUE,FALSE)</f>
        <v>0</v>
      </c>
      <c r="L169" s="411" t="b">
        <f>IF(G169=3,TRUE,FALSE)</f>
        <v>0</v>
      </c>
      <c r="M169" s="411" t="b">
        <f>IF(G169=4,TRUE,FALSE)</f>
        <v>0</v>
      </c>
      <c r="N169" s="411" t="b">
        <f>IF(G169=5,TRUE,FALSE)</f>
        <v>0</v>
      </c>
      <c r="O169" s="407"/>
      <c r="P169" s="408">
        <f>IF(J169=TRUE,E169,IF(K169=TRUE,E169*0.85,IF(L169=TRUE,E169*0.7,IF(M169=TRUE,E169*0.5,0))))</f>
        <v>0</v>
      </c>
      <c r="Q169" s="413">
        <f>E169</f>
        <v>20</v>
      </c>
      <c r="S169" s="81" t="s">
        <v>1653</v>
      </c>
      <c r="T169" s="81">
        <f>IF(AA185=2,10,0)</f>
        <v>0</v>
      </c>
      <c r="U169" s="391"/>
      <c r="Z169" s="526" t="s">
        <v>1017</v>
      </c>
      <c r="AA169" s="81">
        <v>0</v>
      </c>
      <c r="AC169" s="81">
        <f>IF(AA150,1,IF(AA169&gt;0,1,0))</f>
        <v>0</v>
      </c>
      <c r="AE169" s="462"/>
      <c r="AF169" s="462"/>
      <c r="AG169" s="462"/>
      <c r="AH169" s="466"/>
      <c r="AN169" s="81" t="s">
        <v>1651</v>
      </c>
      <c r="AO169" s="387">
        <f>AP164*(0.15)</f>
        <v>120</v>
      </c>
      <c r="AQ169" s="641">
        <v>1763</v>
      </c>
      <c r="AR169" t="s">
        <v>2372</v>
      </c>
      <c r="AS169" t="s">
        <v>2373</v>
      </c>
      <c r="AT169" t="s">
        <v>2336</v>
      </c>
      <c r="AU169" s="642">
        <v>10453897</v>
      </c>
    </row>
    <row r="170" spans="1:47" ht="13.3" thickBot="1" x14ac:dyDescent="0.4">
      <c r="A170" s="432" t="str">
        <f>IF(A169="grade(s) missing","",IF(A169&gt;=0.98,"DIAMOND MEDAL",IF(A169&gt;=0.83,"PLATINUM MEDAL",IF(A169&gt;=0.68,"GOLD MEDAL",IF(A169&gt;=0.48,"YELLOW FLAG","RED FLAG")))))</f>
        <v/>
      </c>
      <c r="B170" s="418"/>
      <c r="C170" s="418" t="s">
        <v>731</v>
      </c>
      <c r="D170" s="932"/>
      <c r="E170" s="430">
        <v>10</v>
      </c>
      <c r="F170" s="418"/>
      <c r="G170" s="420">
        <v>0</v>
      </c>
      <c r="H170" s="421">
        <f>IF(G170&gt;0,1,0)</f>
        <v>0</v>
      </c>
      <c r="I170" s="549"/>
      <c r="J170" s="422" t="b">
        <f>IF(G170=1,TRUE,FALSE)</f>
        <v>0</v>
      </c>
      <c r="K170" s="423" t="b">
        <f>IF(G170=2,TRUE,FALSE)</f>
        <v>0</v>
      </c>
      <c r="L170" s="422" t="b">
        <f>IF(G170=3,TRUE,FALSE)</f>
        <v>0</v>
      </c>
      <c r="M170" s="422" t="b">
        <f>IF(G170=4,TRUE,FALSE)</f>
        <v>0</v>
      </c>
      <c r="N170" s="422" t="b">
        <f>IF(G170=5,TRUE,FALSE)</f>
        <v>0</v>
      </c>
      <c r="O170" s="418"/>
      <c r="P170" s="419">
        <f>IF(J170=TRUE,E170,IF(K170=TRUE,E170*0.85,IF(L170=TRUE,E170*0.7,IF(M170=TRUE,E170*0.5,0))))</f>
        <v>0</v>
      </c>
      <c r="Q170" s="424">
        <f>E170</f>
        <v>10</v>
      </c>
      <c r="S170" s="81" t="s">
        <v>1657</v>
      </c>
      <c r="T170" s="391">
        <f>IF(AD198=2,(80-SUM(T171:T174))/0.8,IF(AD198=4,(20-T175)/0.2,100-SUM(T171:T175)))</f>
        <v>100</v>
      </c>
      <c r="U170" s="461" t="str">
        <f>IF(AH186=0,"",IF(AC186=TRUE,"",IF(AE194=2,"",IF(T170&gt;=98,"DIAMOND MEDAL",IF(T170&gt;=83,"PLATINUM MEDAL",IF(T170&gt;=68,"GOLD MEDAL",IF(T170&gt;=48,"YELLOW FLAG","RED FLAG")))))))</f>
        <v/>
      </c>
      <c r="Z170" s="526" t="s">
        <v>1019</v>
      </c>
      <c r="AA170" s="81">
        <v>0</v>
      </c>
      <c r="AC170" s="81">
        <f>IF(AA170&gt;0,1,0)</f>
        <v>0</v>
      </c>
      <c r="AE170" s="462"/>
      <c r="AF170" s="462"/>
      <c r="AG170" s="462"/>
      <c r="AH170" s="466"/>
      <c r="AN170" s="81" t="s">
        <v>1652</v>
      </c>
      <c r="AO170" s="387">
        <f>AP164*(0.1)</f>
        <v>80</v>
      </c>
      <c r="AQ170" s="641">
        <v>1767</v>
      </c>
      <c r="AR170" t="s">
        <v>2374</v>
      </c>
      <c r="AS170" t="s">
        <v>2375</v>
      </c>
      <c r="AT170" t="s">
        <v>2336</v>
      </c>
      <c r="AU170" s="642">
        <v>119380</v>
      </c>
    </row>
    <row r="171" spans="1:47" ht="13.75" thickTop="1" thickBot="1" x14ac:dyDescent="0.4">
      <c r="H171" s="93">
        <f>SUM(H172:H174)</f>
        <v>0</v>
      </c>
      <c r="S171" s="81" t="s">
        <v>1698</v>
      </c>
      <c r="T171" s="81" t="s">
        <v>1708</v>
      </c>
      <c r="Z171" s="526" t="s">
        <v>1021</v>
      </c>
      <c r="AA171" s="81">
        <v>0</v>
      </c>
      <c r="AC171" s="81">
        <f>IF(AA171&gt;0,1,0)</f>
        <v>0</v>
      </c>
      <c r="AE171" s="462"/>
      <c r="AF171" s="462"/>
      <c r="AG171" s="462"/>
      <c r="AH171" s="466"/>
      <c r="AN171" s="81" t="s">
        <v>1653</v>
      </c>
      <c r="AO171" s="387">
        <f>AP164*(0.1)</f>
        <v>80</v>
      </c>
      <c r="AP171" s="387">
        <f>SUM(AO164:AO171)</f>
        <v>800</v>
      </c>
      <c r="AQ171" s="641">
        <v>1771</v>
      </c>
      <c r="AR171" t="s">
        <v>2376</v>
      </c>
      <c r="AS171" t="s">
        <v>2377</v>
      </c>
      <c r="AT171" t="s">
        <v>2336</v>
      </c>
      <c r="AU171" s="642">
        <v>1804720</v>
      </c>
    </row>
    <row r="172" spans="1:47" ht="13.3" thickTop="1" x14ac:dyDescent="0.35">
      <c r="A172" s="534" t="s">
        <v>1348</v>
      </c>
      <c r="B172" s="535"/>
      <c r="C172" s="535" t="s">
        <v>886</v>
      </c>
      <c r="D172" s="935">
        <v>10</v>
      </c>
      <c r="E172" s="536">
        <v>20</v>
      </c>
      <c r="F172" s="535"/>
      <c r="G172" s="541">
        <f>IF(U202="",0,IF(T202&gt;=98,1,IF(T202&gt;=83,2,IF(T202&gt;=68,3,IF(T202&gt;=48,4,5)))))</f>
        <v>0</v>
      </c>
      <c r="H172" s="535">
        <f>IF(U202&gt;"",1,0)</f>
        <v>0</v>
      </c>
      <c r="I172" s="550"/>
      <c r="J172" s="400" t="b">
        <f>IF(G172=1,TRUE,FALSE)</f>
        <v>0</v>
      </c>
      <c r="K172" s="401" t="b">
        <f>IF(I172,FALSE,IF(G172=2,TRUE,FALSE))</f>
        <v>0</v>
      </c>
      <c r="L172" s="400" t="b">
        <f>IF(I172,FALSE,IF(G172=3,TRUE,FALSE))</f>
        <v>0</v>
      </c>
      <c r="M172" s="400" t="b">
        <f>IF(I172,FALSE,IF(G172=4,TRUE,FALSE))</f>
        <v>0</v>
      </c>
      <c r="N172" s="400" t="b">
        <f>IF(I172,FALSE,IF(G172=5,TRUE,FALSE))</f>
        <v>0</v>
      </c>
      <c r="O172" s="535"/>
      <c r="P172" s="395">
        <f>IF(J172=TRUE,E172,IF(K172=TRUE,E172*0.85,IF(L172=TRUE,E172*0.7,IF(M172=TRUE,E172*0.5,0))))</f>
        <v>0</v>
      </c>
      <c r="Q172" s="537">
        <f>E172</f>
        <v>20</v>
      </c>
      <c r="S172" s="81" t="s">
        <v>1654</v>
      </c>
      <c r="T172" s="81">
        <f>IF(AA194=2,30,0)</f>
        <v>0</v>
      </c>
      <c r="Z172" s="526" t="s">
        <v>1022</v>
      </c>
      <c r="AA172" s="81">
        <v>0</v>
      </c>
      <c r="AC172" s="81">
        <f>IF(AA172&gt;0,1,0)</f>
        <v>0</v>
      </c>
      <c r="AE172" s="462"/>
      <c r="AF172" s="462"/>
      <c r="AG172" s="462"/>
      <c r="AH172" s="466"/>
      <c r="AN172" s="81" t="str">
        <f>C157</f>
        <v>OVERNIGHT TRAVEL</v>
      </c>
      <c r="AP172" s="387">
        <f>$D$157*(Q157-P157)</f>
        <v>400</v>
      </c>
      <c r="AQ172" s="641">
        <v>1775</v>
      </c>
      <c r="AR172" t="s">
        <v>2378</v>
      </c>
      <c r="AS172" t="s">
        <v>2379</v>
      </c>
      <c r="AT172" t="s">
        <v>2336</v>
      </c>
      <c r="AU172" s="642">
        <v>696424</v>
      </c>
    </row>
    <row r="173" spans="1:47" ht="12.9" x14ac:dyDescent="0.35">
      <c r="A173" s="406">
        <f>SUM(P172:P174)</f>
        <v>0</v>
      </c>
      <c r="B173" s="407"/>
      <c r="C173" s="407" t="s">
        <v>1635</v>
      </c>
      <c r="D173" s="931"/>
      <c r="E173" s="408">
        <v>45</v>
      </c>
      <c r="F173" s="407"/>
      <c r="G173" s="539">
        <f>IF(U208="",0,IF(T208&gt;=98,1,IF(T208&gt;=83,2,IF(T208&gt;=68,3,IF(T208&gt;=48,4,5)))))</f>
        <v>0</v>
      </c>
      <c r="H173" s="407">
        <f>IF(U208&gt;"",1,0)</f>
        <v>0</v>
      </c>
      <c r="I173" s="551" t="b">
        <f>IF(U208="NO GRADE",TRUE,FALSE)</f>
        <v>0</v>
      </c>
      <c r="J173" s="411" t="b">
        <f>IF(I173=FALSE,IF(G173=1,TRUE,FALSE))</f>
        <v>0</v>
      </c>
      <c r="K173" s="412" t="b">
        <f>IF(I173,FALSE,IF(G173=2,TRUE,FALSE))</f>
        <v>0</v>
      </c>
      <c r="L173" s="411" t="b">
        <f>IF(I173,FALSE,IF(G173=3,TRUE,FALSE))</f>
        <v>0</v>
      </c>
      <c r="M173" s="411" t="b">
        <f>IF(I173,FALSE,IF(G173=4,TRUE,FALSE))</f>
        <v>0</v>
      </c>
      <c r="N173" s="411" t="b">
        <f>IF(I173,FALSE,IF(G173=5,TRUE,FALSE))</f>
        <v>0</v>
      </c>
      <c r="O173" s="407"/>
      <c r="P173" s="408">
        <f>IF(J173=TRUE,E173,IF(K173=TRUE,E173*0.85,IF(L173=TRUE,E173*0.7,IF(M173=TRUE,E173*0.5,0))))</f>
        <v>0</v>
      </c>
      <c r="Q173" s="413">
        <f>IF(Camping!V73="no",0,E173)</f>
        <v>45</v>
      </c>
      <c r="S173" s="81" t="s">
        <v>1655</v>
      </c>
      <c r="T173" s="81">
        <f>IF(AA195=2,30,0)</f>
        <v>0</v>
      </c>
      <c r="Z173" s="526" t="s">
        <v>1023</v>
      </c>
      <c r="AA173" s="81">
        <v>0</v>
      </c>
      <c r="AB173" s="81">
        <f>IF(AA173=2,15,0)</f>
        <v>0</v>
      </c>
      <c r="AC173" s="81">
        <f>IF(AA150,1,IF(AA173&gt;0,1,0))</f>
        <v>0</v>
      </c>
      <c r="AD173" s="81">
        <f>IF(SUM(AA174:AA177)&gt;4,2,1)</f>
        <v>1</v>
      </c>
      <c r="AE173" s="462"/>
      <c r="AF173" s="462"/>
      <c r="AG173" s="462"/>
      <c r="AH173" s="466"/>
      <c r="AN173" s="81" t="s">
        <v>1757</v>
      </c>
      <c r="AO173" s="387">
        <f>AP172*(0.8)</f>
        <v>320</v>
      </c>
      <c r="AQ173" s="641">
        <v>1779</v>
      </c>
      <c r="AR173" t="s">
        <v>2380</v>
      </c>
      <c r="AS173" t="s">
        <v>2243</v>
      </c>
      <c r="AT173" t="s">
        <v>2336</v>
      </c>
      <c r="AU173" s="642">
        <v>894049</v>
      </c>
    </row>
    <row r="174" spans="1:47" ht="12.9" x14ac:dyDescent="0.35">
      <c r="A174" s="406">
        <f>SUM(Q172:Q174)</f>
        <v>100</v>
      </c>
      <c r="B174" s="407"/>
      <c r="C174" s="407" t="s">
        <v>883</v>
      </c>
      <c r="D174" s="931"/>
      <c r="E174" s="408">
        <v>35</v>
      </c>
      <c r="F174" s="407"/>
      <c r="G174" s="539">
        <f>IF(U218="",0,IF(T218&gt;=98,1,IF(T218&gt;=83,2,IF(T218&gt;=68,3,IF(T218&gt;=48,4,5)))))</f>
        <v>0</v>
      </c>
      <c r="H174" s="407">
        <f>IF(U218&gt;"",1,0)</f>
        <v>0</v>
      </c>
      <c r="I174" s="548"/>
      <c r="J174" s="411" t="b">
        <f>IF(G174=1,TRUE,FALSE)</f>
        <v>0</v>
      </c>
      <c r="K174" s="412" t="b">
        <f>IF(I174,FALSE,IF(G174=2,TRUE,FALSE))</f>
        <v>0</v>
      </c>
      <c r="L174" s="411" t="b">
        <f>IF(I174,FALSE,IF(G174=3,TRUE,FALSE))</f>
        <v>0</v>
      </c>
      <c r="M174" s="411" t="b">
        <f>IF(I174,FALSE,IF(G174=4,TRUE,FALSE))</f>
        <v>0</v>
      </c>
      <c r="N174" s="411" t="b">
        <f>IF(I174,FALSE,IF(G174=5,TRUE,FALSE))</f>
        <v>0</v>
      </c>
      <c r="O174" s="407"/>
      <c r="P174" s="408">
        <f>IF(J174=TRUE,E174,IF(K174=TRUE,E174*0.85,IF(L174=TRUE,E174*0.7,IF(M174=TRUE,E174*0.5,0))))</f>
        <v>0</v>
      </c>
      <c r="Q174" s="413">
        <f>E174</f>
        <v>35</v>
      </c>
      <c r="S174" s="81" t="s">
        <v>1656</v>
      </c>
      <c r="T174" s="81">
        <f>IF(AA196=2,20,0)</f>
        <v>0</v>
      </c>
      <c r="Z174" s="526" t="s">
        <v>1027</v>
      </c>
      <c r="AA174" s="81">
        <v>0</v>
      </c>
      <c r="AB174" s="81">
        <f>IF(AA174=2,3,0)</f>
        <v>0</v>
      </c>
      <c r="AE174" s="462"/>
      <c r="AF174" s="462"/>
      <c r="AG174" s="462"/>
      <c r="AH174" s="466"/>
      <c r="AN174" s="81" t="s">
        <v>1758</v>
      </c>
      <c r="AO174" s="387">
        <f>AP172*(0.2)</f>
        <v>80</v>
      </c>
      <c r="AP174" s="387">
        <f>SUM(AO173:AO174)</f>
        <v>400</v>
      </c>
      <c r="AQ174" s="641">
        <v>1785</v>
      </c>
      <c r="AR174" t="s">
        <v>2381</v>
      </c>
      <c r="AS174" t="s">
        <v>2382</v>
      </c>
      <c r="AT174" t="s">
        <v>2336</v>
      </c>
      <c r="AU174" s="642">
        <v>5364028</v>
      </c>
    </row>
    <row r="175" spans="1:47" ht="12.9" x14ac:dyDescent="0.35">
      <c r="A175" s="414" t="str">
        <f>IF(H171=3,A173/A174,"grade(s) missing")</f>
        <v>grade(s) missing</v>
      </c>
      <c r="B175" s="379">
        <f>IF(A175="grade(s) missing",0,1)</f>
        <v>0</v>
      </c>
      <c r="C175" s="407"/>
      <c r="D175" s="931"/>
      <c r="E175" s="408"/>
      <c r="F175" s="407"/>
      <c r="G175" s="408"/>
      <c r="H175" s="407"/>
      <c r="I175" s="407"/>
      <c r="J175" s="408"/>
      <c r="K175" s="408"/>
      <c r="L175" s="408"/>
      <c r="M175" s="408"/>
      <c r="N175" s="408"/>
      <c r="O175" s="407"/>
      <c r="P175" s="408"/>
      <c r="Q175" s="413">
        <f>E175</f>
        <v>0</v>
      </c>
      <c r="S175" s="81" t="s">
        <v>1682</v>
      </c>
      <c r="T175" s="81">
        <f>IF(AA203=2,20,0)</f>
        <v>0</v>
      </c>
      <c r="Z175" s="526" t="s">
        <v>1026</v>
      </c>
      <c r="AA175" s="81">
        <v>0</v>
      </c>
      <c r="AB175" s="81">
        <f>IF(AA175=2,3,0)</f>
        <v>0</v>
      </c>
      <c r="AE175" s="462"/>
      <c r="AF175" s="462"/>
      <c r="AG175" s="462"/>
      <c r="AH175" s="466"/>
      <c r="AN175" s="81" t="str">
        <f>C158</f>
        <v>CHALLENGE COURSE</v>
      </c>
      <c r="AO175" s="387">
        <f t="shared" ref="AO175:AO180" si="61">$D$157*(Q158-P158)</f>
        <v>400</v>
      </c>
      <c r="AQ175" s="641">
        <v>1793</v>
      </c>
      <c r="AR175" t="s">
        <v>2383</v>
      </c>
      <c r="AS175" t="s">
        <v>2384</v>
      </c>
      <c r="AT175" t="s">
        <v>2336</v>
      </c>
      <c r="AU175" s="642">
        <v>1614439</v>
      </c>
    </row>
    <row r="176" spans="1:47" ht="13.3" thickBot="1" x14ac:dyDescent="0.4">
      <c r="A176" s="432" t="str">
        <f>IF(A175="grade(s) missing","",IF(A175&gt;=0.98,"DIAMOND MEDAL",IF(A175&gt;=0.83,"PLATINUM MEDAL",IF(A175&gt;=0.68,"GOLD MEDAL",IF(A175&gt;=0.48,"YELLOW FLAG","RED FLAG")))))</f>
        <v/>
      </c>
      <c r="B176" s="418"/>
      <c r="C176" s="418"/>
      <c r="D176" s="932"/>
      <c r="E176" s="419"/>
      <c r="F176" s="418"/>
      <c r="G176" s="419"/>
      <c r="H176" s="418"/>
      <c r="I176" s="418"/>
      <c r="J176" s="419"/>
      <c r="K176" s="419"/>
      <c r="L176" s="419"/>
      <c r="M176" s="419"/>
      <c r="N176" s="419"/>
      <c r="O176" s="418"/>
      <c r="P176" s="419"/>
      <c r="Q176" s="424">
        <f>E176</f>
        <v>0</v>
      </c>
      <c r="S176" s="81" t="s">
        <v>1633</v>
      </c>
      <c r="T176" s="391">
        <f>100-SUM(T177:T182)</f>
        <v>100</v>
      </c>
      <c r="U176" s="461" t="str">
        <f>IF(AG205=0,"",IF(SUM(AC208:AC212)&lt;5,"",IF(T176&gt;=98,"DIAMOND MEDAL",IF(T176&gt;=83,"PLATINUM MEDAL",IF(T176&gt;=68,"GOLD MEDAL",IF(T176&gt;=48,"YELLOW FLAG","RED FLAG"))))))</f>
        <v/>
      </c>
      <c r="Z176" s="526" t="s">
        <v>1025</v>
      </c>
      <c r="AA176" s="81">
        <v>0</v>
      </c>
      <c r="AB176" s="81">
        <f>IF(AA176=2,3,0)</f>
        <v>0</v>
      </c>
      <c r="AE176" s="462"/>
      <c r="AF176" s="462"/>
      <c r="AG176" s="462"/>
      <c r="AH176" s="466"/>
      <c r="AN176" s="81" t="str">
        <f>C159</f>
        <v>PAINTBALL</v>
      </c>
      <c r="AO176" s="387">
        <f t="shared" si="61"/>
        <v>200</v>
      </c>
      <c r="AQ176" s="641">
        <v>1801</v>
      </c>
      <c r="AR176" t="s">
        <v>2385</v>
      </c>
      <c r="AS176" t="s">
        <v>2386</v>
      </c>
      <c r="AT176" t="s">
        <v>2336</v>
      </c>
      <c r="AU176" s="642">
        <v>933092</v>
      </c>
    </row>
    <row r="177" spans="1:47" ht="13.75" thickTop="1" thickBot="1" x14ac:dyDescent="0.4">
      <c r="H177" s="93">
        <f>SUM(H178:H183)</f>
        <v>0</v>
      </c>
      <c r="I177" s="425" t="s">
        <v>167</v>
      </c>
      <c r="J177" s="425" t="s">
        <v>172</v>
      </c>
      <c r="K177" s="425" t="s">
        <v>168</v>
      </c>
      <c r="L177" s="425" t="s">
        <v>169</v>
      </c>
      <c r="M177" s="425" t="s">
        <v>170</v>
      </c>
      <c r="N177" s="425" t="s">
        <v>171</v>
      </c>
      <c r="S177" s="81" t="s">
        <v>1698</v>
      </c>
      <c r="T177" s="81" t="s">
        <v>1708</v>
      </c>
      <c r="Z177" s="526" t="s">
        <v>1024</v>
      </c>
      <c r="AA177" s="81">
        <v>0</v>
      </c>
      <c r="AB177" s="81">
        <f>IF(AA177=2,3,0)</f>
        <v>0</v>
      </c>
      <c r="AE177" s="462"/>
      <c r="AF177" s="462"/>
      <c r="AG177" s="462"/>
      <c r="AH177" s="466"/>
      <c r="AN177" s="81" t="str">
        <f>C160</f>
        <v>RIFLERY</v>
      </c>
      <c r="AO177" s="387">
        <f t="shared" si="61"/>
        <v>200</v>
      </c>
      <c r="AP177" s="387"/>
      <c r="AQ177" s="641">
        <v>1802</v>
      </c>
      <c r="AR177" t="s">
        <v>2387</v>
      </c>
      <c r="AS177" t="s">
        <v>2388</v>
      </c>
      <c r="AT177" t="s">
        <v>2336</v>
      </c>
      <c r="AU177" s="642">
        <v>433353</v>
      </c>
    </row>
    <row r="178" spans="1:47" ht="13.3" thickTop="1" x14ac:dyDescent="0.35">
      <c r="A178" s="393" t="s">
        <v>699</v>
      </c>
      <c r="B178" s="394"/>
      <c r="C178" s="394" t="s">
        <v>69</v>
      </c>
      <c r="D178" s="935">
        <v>15</v>
      </c>
      <c r="E178" s="395">
        <v>20</v>
      </c>
      <c r="F178" s="396"/>
      <c r="G178" s="397">
        <v>0</v>
      </c>
      <c r="H178" s="398">
        <f t="shared" ref="H178:H183" si="62">IF(G178&gt;0,1,0)</f>
        <v>0</v>
      </c>
      <c r="I178" s="399"/>
      <c r="J178" s="400" t="b">
        <f t="shared" ref="J178:J183" si="63">IF(G178=1,TRUE,FALSE)</f>
        <v>0</v>
      </c>
      <c r="K178" s="401" t="b">
        <f t="shared" ref="K178:K183" si="64">IF(G178=2,TRUE,FALSE)</f>
        <v>0</v>
      </c>
      <c r="L178" s="400" t="b">
        <f t="shared" ref="L178:L183" si="65">IF(G178=3,TRUE,FALSE)</f>
        <v>0</v>
      </c>
      <c r="M178" s="400" t="b">
        <f t="shared" ref="M178:M183" si="66">IF(G178=4,TRUE,FALSE)</f>
        <v>0</v>
      </c>
      <c r="N178" s="400" t="b">
        <f t="shared" ref="N178:N183" si="67">IF(G178=5,TRUE,FALSE)</f>
        <v>0</v>
      </c>
      <c r="O178" s="394"/>
      <c r="P178" s="395">
        <f t="shared" ref="P178:P183" si="68">IF(J178=TRUE,E178,IF(K178=TRUE,E178*0.85,IF(L178=TRUE,E178*0.7,IF(M178=TRUE,E178*0.5,0))))</f>
        <v>0</v>
      </c>
      <c r="Q178" s="402">
        <f>E178</f>
        <v>20</v>
      </c>
      <c r="R178" s="386"/>
      <c r="S178" s="81" t="s">
        <v>1683</v>
      </c>
      <c r="T178" s="81">
        <f>IF(AA212="no",30,0)</f>
        <v>0</v>
      </c>
      <c r="Z178" s="526" t="s">
        <v>1028</v>
      </c>
      <c r="AA178" s="81">
        <v>0</v>
      </c>
      <c r="AC178" s="81">
        <f>IF(AA150,1,IF(AA178&gt;0,1,0))</f>
        <v>0</v>
      </c>
      <c r="AE178" s="462"/>
      <c r="AF178" s="462"/>
      <c r="AG178" s="462"/>
      <c r="AH178" s="466"/>
      <c r="AN178" s="81" t="str">
        <f>C161</f>
        <v>ARCHERY</v>
      </c>
      <c r="AO178" s="387">
        <f t="shared" si="61"/>
        <v>200</v>
      </c>
      <c r="AQ178" s="641">
        <v>1805</v>
      </c>
      <c r="AR178" t="s">
        <v>2389</v>
      </c>
      <c r="AS178" t="s">
        <v>2390</v>
      </c>
      <c r="AT178" t="s">
        <v>2336</v>
      </c>
      <c r="AU178" s="642">
        <v>1544473</v>
      </c>
    </row>
    <row r="179" spans="1:47" ht="12.9" x14ac:dyDescent="0.35">
      <c r="A179" s="406">
        <f>SUM(P178:P183)</f>
        <v>0</v>
      </c>
      <c r="B179" s="407"/>
      <c r="C179" s="407" t="s">
        <v>706</v>
      </c>
      <c r="D179" s="931"/>
      <c r="E179" s="408">
        <v>20</v>
      </c>
      <c r="F179" s="407"/>
      <c r="G179" s="409">
        <v>0</v>
      </c>
      <c r="H179" s="376">
        <f t="shared" si="62"/>
        <v>0</v>
      </c>
      <c r="I179" s="410"/>
      <c r="J179" s="411" t="b">
        <f t="shared" si="63"/>
        <v>0</v>
      </c>
      <c r="K179" s="412" t="b">
        <f t="shared" si="64"/>
        <v>0</v>
      </c>
      <c r="L179" s="411" t="b">
        <f t="shared" si="65"/>
        <v>0</v>
      </c>
      <c r="M179" s="411" t="b">
        <f t="shared" si="66"/>
        <v>0</v>
      </c>
      <c r="N179" s="411" t="b">
        <f t="shared" si="67"/>
        <v>0</v>
      </c>
      <c r="O179" s="407"/>
      <c r="P179" s="408">
        <f t="shared" si="68"/>
        <v>0</v>
      </c>
      <c r="Q179" s="413">
        <f>E179</f>
        <v>20</v>
      </c>
      <c r="R179" s="386"/>
      <c r="S179" s="371" t="s">
        <v>1686</v>
      </c>
      <c r="T179" s="81">
        <f>IF(Camping!V267=1,15,0)</f>
        <v>0</v>
      </c>
      <c r="Z179" s="526" t="s">
        <v>1699</v>
      </c>
      <c r="AA179" s="81">
        <v>0</v>
      </c>
      <c r="AC179" s="81">
        <f t="shared" ref="AC179:AC185" si="69">IF(AA179&gt;0,1,0)</f>
        <v>0</v>
      </c>
      <c r="AE179" s="462"/>
      <c r="AF179" s="462"/>
      <c r="AG179" s="462"/>
      <c r="AH179" s="466"/>
      <c r="AN179" s="81" t="str">
        <f>C162</f>
        <v>EQUINE</v>
      </c>
      <c r="AO179" s="387">
        <f t="shared" si="61"/>
        <v>200</v>
      </c>
      <c r="AQ179" s="641">
        <v>1809</v>
      </c>
      <c r="AR179" t="s">
        <v>2391</v>
      </c>
      <c r="AS179" t="s">
        <v>2392</v>
      </c>
      <c r="AT179" t="s">
        <v>2336</v>
      </c>
      <c r="AU179" s="642">
        <v>2302351</v>
      </c>
    </row>
    <row r="180" spans="1:47" ht="12.9" x14ac:dyDescent="0.35">
      <c r="A180" s="406">
        <f>SUM(Q178:Q183)</f>
        <v>100</v>
      </c>
      <c r="B180" s="407"/>
      <c r="C180" s="407" t="s">
        <v>707</v>
      </c>
      <c r="D180" s="931"/>
      <c r="E180" s="408">
        <v>20</v>
      </c>
      <c r="F180" s="407"/>
      <c r="G180" s="409">
        <v>0</v>
      </c>
      <c r="H180" s="376">
        <f t="shared" si="62"/>
        <v>0</v>
      </c>
      <c r="I180" s="410"/>
      <c r="J180" s="411" t="b">
        <f t="shared" si="63"/>
        <v>0</v>
      </c>
      <c r="K180" s="412" t="b">
        <f t="shared" si="64"/>
        <v>0</v>
      </c>
      <c r="L180" s="411" t="b">
        <f t="shared" si="65"/>
        <v>0</v>
      </c>
      <c r="M180" s="411" t="b">
        <f t="shared" si="66"/>
        <v>0</v>
      </c>
      <c r="N180" s="411" t="b">
        <f t="shared" si="67"/>
        <v>0</v>
      </c>
      <c r="O180" s="407"/>
      <c r="P180" s="408">
        <f t="shared" si="68"/>
        <v>0</v>
      </c>
      <c r="Q180" s="413">
        <f>E180</f>
        <v>20</v>
      </c>
      <c r="R180" s="386"/>
      <c r="S180" s="81" t="s">
        <v>1684</v>
      </c>
      <c r="T180" s="81">
        <f>IF(Camping!AC267=1,15,0)</f>
        <v>0</v>
      </c>
      <c r="Z180" s="526" t="s">
        <v>1041</v>
      </c>
      <c r="AA180" s="81">
        <v>0</v>
      </c>
      <c r="AC180" s="81">
        <f t="shared" si="69"/>
        <v>0</v>
      </c>
      <c r="AE180" s="462"/>
      <c r="AF180" s="462"/>
      <c r="AG180" s="462"/>
      <c r="AH180" s="466"/>
      <c r="AN180" s="81" t="s">
        <v>1634</v>
      </c>
      <c r="AO180" s="387">
        <f t="shared" si="61"/>
        <v>400</v>
      </c>
      <c r="AQ180" s="641">
        <v>1815</v>
      </c>
      <c r="AR180" t="s">
        <v>2393</v>
      </c>
      <c r="AS180" t="s">
        <v>2394</v>
      </c>
      <c r="AT180" t="s">
        <v>2336</v>
      </c>
      <c r="AU180" s="642">
        <v>499615</v>
      </c>
    </row>
    <row r="181" spans="1:47" ht="12.9" x14ac:dyDescent="0.35">
      <c r="A181" s="414" t="str">
        <f>IF(B3&lt;&gt;3,"",IF(H177=6,A179/A180,"grade(s) missing"))</f>
        <v/>
      </c>
      <c r="B181" s="379">
        <f>IF(A181="grade(s) missing",0,1)</f>
        <v>1</v>
      </c>
      <c r="C181" s="407" t="s">
        <v>708</v>
      </c>
      <c r="D181" s="931"/>
      <c r="E181" s="408">
        <v>20</v>
      </c>
      <c r="F181" s="407"/>
      <c r="G181" s="409">
        <v>0</v>
      </c>
      <c r="H181" s="376">
        <f t="shared" si="62"/>
        <v>0</v>
      </c>
      <c r="I181" s="410"/>
      <c r="J181" s="411" t="b">
        <f t="shared" si="63"/>
        <v>0</v>
      </c>
      <c r="K181" s="412" t="b">
        <f t="shared" si="64"/>
        <v>0</v>
      </c>
      <c r="L181" s="411" t="b">
        <f t="shared" si="65"/>
        <v>0</v>
      </c>
      <c r="M181" s="411" t="b">
        <f t="shared" si="66"/>
        <v>0</v>
      </c>
      <c r="N181" s="411" t="b">
        <f t="shared" si="67"/>
        <v>0</v>
      </c>
      <c r="O181" s="407"/>
      <c r="P181" s="408">
        <f t="shared" si="68"/>
        <v>0</v>
      </c>
      <c r="Q181" s="413">
        <f>E181</f>
        <v>20</v>
      </c>
      <c r="R181" s="386"/>
      <c r="S181" s="81" t="s">
        <v>1685</v>
      </c>
      <c r="T181" s="81">
        <f>IF(Camping!AN267="no",25,0)</f>
        <v>0</v>
      </c>
      <c r="Z181" s="526" t="s">
        <v>1042</v>
      </c>
      <c r="AA181" s="81">
        <v>0</v>
      </c>
      <c r="AC181" s="81">
        <f t="shared" si="69"/>
        <v>0</v>
      </c>
      <c r="AE181" s="462"/>
      <c r="AF181" s="462"/>
      <c r="AG181" s="462"/>
      <c r="AH181" s="466"/>
      <c r="AN181" s="81" t="str">
        <f>C168</f>
        <v>EMERGENCY OXYGEN</v>
      </c>
      <c r="AO181" s="387">
        <f>$D$186*(Q168-P168)</f>
        <v>200</v>
      </c>
      <c r="AQ181" s="641">
        <v>1819</v>
      </c>
      <c r="AR181" t="s">
        <v>2395</v>
      </c>
      <c r="AS181" t="s">
        <v>2396</v>
      </c>
      <c r="AT181" t="s">
        <v>2336</v>
      </c>
      <c r="AU181" s="642">
        <v>1682768</v>
      </c>
    </row>
    <row r="182" spans="1:47" ht="12.9" x14ac:dyDescent="0.35">
      <c r="A182" s="415" t="str">
        <f>IF(B3&lt;&gt;3,"",IF(A181="grade(s) missing","",IF(N180=TRUE,"BLACK FLAG",IF(A181&gt;=0.98,"DIAMOND MEDAL",IF(A181&gt;=0.83,"PLATINUM MEDAL",IF(A181&gt;=0.68,"GOLD MEDAL",IF(A181&gt;=0.48,"YELLOW FLAG","RED FLAG")))))))</f>
        <v/>
      </c>
      <c r="B182" s="407"/>
      <c r="C182" s="407" t="s">
        <v>709</v>
      </c>
      <c r="D182" s="931"/>
      <c r="E182" s="408">
        <v>10</v>
      </c>
      <c r="F182" s="407"/>
      <c r="G182" s="409">
        <v>0</v>
      </c>
      <c r="H182" s="376">
        <f t="shared" si="62"/>
        <v>0</v>
      </c>
      <c r="I182" s="410"/>
      <c r="J182" s="411" t="b">
        <f t="shared" si="63"/>
        <v>0</v>
      </c>
      <c r="K182" s="412" t="b">
        <f t="shared" si="64"/>
        <v>0</v>
      </c>
      <c r="L182" s="411" t="b">
        <f t="shared" si="65"/>
        <v>0</v>
      </c>
      <c r="M182" s="411" t="b">
        <f t="shared" si="66"/>
        <v>0</v>
      </c>
      <c r="N182" s="411" t="b">
        <f t="shared" si="67"/>
        <v>0</v>
      </c>
      <c r="O182" s="407"/>
      <c r="P182" s="408">
        <f t="shared" si="68"/>
        <v>0</v>
      </c>
      <c r="Q182" s="413">
        <f>E182</f>
        <v>10</v>
      </c>
      <c r="R182" s="386"/>
      <c r="S182" s="81" t="s">
        <v>1687</v>
      </c>
      <c r="T182" s="81">
        <f>IF(Camping!W269=1,15,0)</f>
        <v>0</v>
      </c>
      <c r="Z182" s="526" t="s">
        <v>1043</v>
      </c>
      <c r="AA182" s="81">
        <v>0</v>
      </c>
      <c r="AC182" s="81">
        <f t="shared" si="69"/>
        <v>0</v>
      </c>
      <c r="AE182" s="462"/>
      <c r="AF182" s="462"/>
      <c r="AG182" s="462"/>
      <c r="AH182" s="466"/>
      <c r="AN182" s="81" t="str">
        <f>C169</f>
        <v>AED</v>
      </c>
      <c r="AO182" s="387">
        <f>$D$186*(Q169-P169)</f>
        <v>200</v>
      </c>
      <c r="AQ182" s="641">
        <v>1823</v>
      </c>
      <c r="AR182" t="s">
        <v>2397</v>
      </c>
      <c r="AS182" t="s">
        <v>2398</v>
      </c>
      <c r="AT182" t="s">
        <v>2336</v>
      </c>
      <c r="AU182" s="642">
        <v>4504066</v>
      </c>
    </row>
    <row r="183" spans="1:47" ht="12.9" x14ac:dyDescent="0.35">
      <c r="A183" s="406">
        <f>IF(A180="DIAMOND",1,IF(A180="PLATINUM",1,IF(A180="GOLD",1,IF(A180="YELLOW FLAG",1,IF(A180="RED FLAG",1,IF(A180="BLACK FLAG",1,0))))))</f>
        <v>0</v>
      </c>
      <c r="B183" s="407"/>
      <c r="C183" s="407" t="s">
        <v>714</v>
      </c>
      <c r="D183" s="931"/>
      <c r="E183" s="408">
        <v>10</v>
      </c>
      <c r="F183" s="407" t="b">
        <v>0</v>
      </c>
      <c r="G183" s="409">
        <v>0</v>
      </c>
      <c r="H183" s="376">
        <f t="shared" si="62"/>
        <v>0</v>
      </c>
      <c r="I183" s="411" t="b">
        <f>IF(G183=6,TRUE,FALSE)</f>
        <v>0</v>
      </c>
      <c r="J183" s="411" t="b">
        <f t="shared" si="63"/>
        <v>0</v>
      </c>
      <c r="K183" s="412" t="b">
        <f t="shared" si="64"/>
        <v>0</v>
      </c>
      <c r="L183" s="411" t="b">
        <f t="shared" si="65"/>
        <v>0</v>
      </c>
      <c r="M183" s="411" t="b">
        <f t="shared" si="66"/>
        <v>0</v>
      </c>
      <c r="N183" s="411" t="b">
        <f t="shared" si="67"/>
        <v>0</v>
      </c>
      <c r="O183" s="407"/>
      <c r="P183" s="408">
        <f t="shared" si="68"/>
        <v>0</v>
      </c>
      <c r="Q183" s="413">
        <f>IF(I183=TRUE,0,E183)</f>
        <v>10</v>
      </c>
      <c r="R183" s="386"/>
      <c r="S183" s="81" t="s">
        <v>893</v>
      </c>
      <c r="T183" s="391">
        <f>100-SUM(T184:T185)</f>
        <v>100</v>
      </c>
      <c r="U183" s="461" t="str">
        <f>IF(SUM(AC219:AC220)&lt;2,"",IF(T183&gt;=98,"DIAMOND MEDAL",IF(T183&gt;=83,"PLATINUM MEDAL",IF(T183&gt;=68,"GOLD MEDAL",IF(T183&gt;=48,"YELLOW FLAG","RED FLAG")))))</f>
        <v/>
      </c>
      <c r="Z183" s="526" t="s">
        <v>1044</v>
      </c>
      <c r="AA183" s="81">
        <v>0</v>
      </c>
      <c r="AC183" s="81">
        <f t="shared" si="69"/>
        <v>0</v>
      </c>
      <c r="AE183" s="462"/>
      <c r="AF183" s="462"/>
      <c r="AG183" s="462"/>
      <c r="AH183" s="466"/>
      <c r="AN183" s="81" t="str">
        <f>C170</f>
        <v>DRUG TESTING</v>
      </c>
      <c r="AO183" s="387">
        <f>$D$186*(Q170-P170)</f>
        <v>100</v>
      </c>
      <c r="AQ183" s="641">
        <v>1825</v>
      </c>
      <c r="AR183" t="s">
        <v>2399</v>
      </c>
      <c r="AS183" t="s">
        <v>2400</v>
      </c>
      <c r="AT183" t="s">
        <v>2336</v>
      </c>
      <c r="AU183" s="642">
        <v>586651</v>
      </c>
    </row>
    <row r="184" spans="1:47" ht="13.3" thickBot="1" x14ac:dyDescent="0.4">
      <c r="A184" s="406"/>
      <c r="B184" s="407"/>
      <c r="C184" s="418"/>
      <c r="D184" s="932"/>
      <c r="E184" s="419"/>
      <c r="F184" s="418"/>
      <c r="G184" s="419"/>
      <c r="H184" s="418"/>
      <c r="I184" s="418"/>
      <c r="J184" s="419"/>
      <c r="K184" s="419"/>
      <c r="L184" s="419"/>
      <c r="M184" s="419"/>
      <c r="N184" s="419"/>
      <c r="O184" s="418"/>
      <c r="P184" s="419"/>
      <c r="Q184" s="418"/>
      <c r="R184" s="386"/>
      <c r="S184" s="81" t="s">
        <v>1698</v>
      </c>
      <c r="T184" s="81">
        <f>IF(Y215=1,25,IF(Y215=2,50,IF(Y215=3,30,IF(Y215=4,15,0))))</f>
        <v>0</v>
      </c>
      <c r="Z184" s="526" t="s">
        <v>1045</v>
      </c>
      <c r="AA184" s="81">
        <v>0</v>
      </c>
      <c r="AC184" s="81">
        <f t="shared" si="69"/>
        <v>0</v>
      </c>
      <c r="AE184" s="462"/>
      <c r="AF184" s="462"/>
      <c r="AG184" s="462"/>
      <c r="AH184" s="466"/>
      <c r="AN184" s="81" t="str">
        <f>C172</f>
        <v>ASSEMBLY / DINING</v>
      </c>
      <c r="AO184" s="387">
        <f>$D$172*(Q172-P172)</f>
        <v>200</v>
      </c>
      <c r="AP184" s="387"/>
      <c r="AQ184" s="641">
        <v>1827</v>
      </c>
      <c r="AR184" t="s">
        <v>2401</v>
      </c>
      <c r="AS184" t="s">
        <v>2402</v>
      </c>
      <c r="AT184" t="s">
        <v>2336</v>
      </c>
      <c r="AU184" s="642">
        <v>878819</v>
      </c>
    </row>
    <row r="185" spans="1:47" ht="13.75" thickTop="1" thickBot="1" x14ac:dyDescent="0.4">
      <c r="A185" s="394"/>
      <c r="B185" s="394"/>
      <c r="C185" s="407"/>
      <c r="D185" s="552"/>
      <c r="E185" s="408"/>
      <c r="F185" s="407"/>
      <c r="G185" s="409"/>
      <c r="H185" s="436">
        <f>SUM(H186:H190)</f>
        <v>0</v>
      </c>
      <c r="I185" s="553" t="s">
        <v>167</v>
      </c>
      <c r="J185" s="425" t="s">
        <v>172</v>
      </c>
      <c r="K185" s="425" t="s">
        <v>168</v>
      </c>
      <c r="L185" s="425" t="s">
        <v>169</v>
      </c>
      <c r="M185" s="425" t="s">
        <v>170</v>
      </c>
      <c r="N185" s="425" t="s">
        <v>171</v>
      </c>
      <c r="S185" s="81" t="s">
        <v>1697</v>
      </c>
      <c r="T185" s="81">
        <f>IF(AA220=FALSE,25,0)</f>
        <v>0</v>
      </c>
      <c r="Z185" s="526" t="s">
        <v>151</v>
      </c>
      <c r="AA185" s="81">
        <v>0</v>
      </c>
      <c r="AC185" s="81">
        <f t="shared" si="69"/>
        <v>0</v>
      </c>
      <c r="AE185" s="462"/>
      <c r="AF185" s="462"/>
      <c r="AG185" s="462"/>
      <c r="AH185" s="466"/>
      <c r="AN185" s="81" t="str">
        <f>C173</f>
        <v>SLEEPING ACCOMODATION</v>
      </c>
      <c r="AO185" s="387">
        <f>$D$172*(Q173-P173)</f>
        <v>450</v>
      </c>
      <c r="AQ185" s="641">
        <v>1831</v>
      </c>
      <c r="AR185" t="s">
        <v>2403</v>
      </c>
      <c r="AS185" t="s">
        <v>2404</v>
      </c>
      <c r="AT185" t="s">
        <v>2336</v>
      </c>
      <c r="AU185" s="642">
        <v>409633</v>
      </c>
    </row>
    <row r="186" spans="1:47" ht="13.3" thickTop="1" x14ac:dyDescent="0.35">
      <c r="A186" s="393" t="s">
        <v>714</v>
      </c>
      <c r="B186" s="394"/>
      <c r="C186" s="535" t="s">
        <v>729</v>
      </c>
      <c r="D186" s="935">
        <v>10</v>
      </c>
      <c r="E186" s="542">
        <v>20</v>
      </c>
      <c r="F186" s="535"/>
      <c r="G186" s="543">
        <v>0</v>
      </c>
      <c r="H186" s="544">
        <f>IF(I186=TRUE,1,IF(G186&gt;0,1,0))</f>
        <v>0</v>
      </c>
      <c r="I186" s="546" t="b">
        <f>IF(G186=6,TRUE,FALSE)</f>
        <v>0</v>
      </c>
      <c r="J186" s="546" t="b">
        <f>IF(G186=1,TRUE,FALSE)</f>
        <v>0</v>
      </c>
      <c r="K186" s="547" t="b">
        <f>IF(G186=2,TRUE,FALSE)</f>
        <v>0</v>
      </c>
      <c r="L186" s="546" t="b">
        <f>IF(G186=3,TRUE,FALSE)</f>
        <v>0</v>
      </c>
      <c r="M186" s="546" t="b">
        <f>IF(G186=4,TRUE,FALSE)</f>
        <v>0</v>
      </c>
      <c r="N186" s="546" t="b">
        <f>IF(G186=5,TRUE,FALSE)</f>
        <v>0</v>
      </c>
      <c r="O186" s="535"/>
      <c r="P186" s="536">
        <f>IF(J186=TRUE,E186,IF(K186=TRUE,E186*0.85,IF(L186=TRUE,E186*0.7,IF(M186=TRUE,E186*0.5,0))))</f>
        <v>0</v>
      </c>
      <c r="Q186" s="537">
        <f>IF(I186=TRUE,0,E186)</f>
        <v>20</v>
      </c>
      <c r="R186" s="386"/>
      <c r="S186" s="81" t="s">
        <v>892</v>
      </c>
      <c r="T186" s="391">
        <f>100-SUM(T187:T191)</f>
        <v>100</v>
      </c>
      <c r="U186" s="461" t="str">
        <f>IF(AG223=0,"",IF(SUM(AC231:AC234)&lt;4,"",IF(T186&gt;=98,"DIAMOND MEDAL",IF(T186&gt;=83,"PLATINUM MEDAL",IF(T186&gt;=68,"GOLD MEDAL",IF(T186&gt;=48,"YELLOW FLAG","RED FLAG"))))))</f>
        <v/>
      </c>
      <c r="Z186" s="532" t="s">
        <v>1710</v>
      </c>
      <c r="AB186" s="81" t="s">
        <v>1756</v>
      </c>
      <c r="AC186" s="81" t="b">
        <f>IF(AA187=1,IF(AB198=1,TRUE,FALSE))</f>
        <v>0</v>
      </c>
      <c r="AE186" s="462"/>
      <c r="AF186" s="462" t="s">
        <v>1863</v>
      </c>
      <c r="AG186" s="462">
        <f>IF(Camping!O49&lt;&gt;"yes",0,IF(LEFT(Camping!M222,7)="Briefly",1,IF(Camping!M222="",1,0)))</f>
        <v>0</v>
      </c>
      <c r="AH186" s="466">
        <f>IF(SUM(AG186:AG193)=0,1,0)</f>
        <v>0</v>
      </c>
      <c r="AI186" s="81" t="s">
        <v>1870</v>
      </c>
      <c r="AN186" s="81" t="str">
        <f>C174</f>
        <v>FIRE PROTECTION</v>
      </c>
      <c r="AO186" s="387">
        <f>$D$172*(Q174-P174)</f>
        <v>350</v>
      </c>
      <c r="AQ186" s="641">
        <v>1835</v>
      </c>
      <c r="AR186" t="s">
        <v>2405</v>
      </c>
      <c r="AS186" t="s">
        <v>2406</v>
      </c>
      <c r="AT186" t="s">
        <v>2336</v>
      </c>
      <c r="AU186" s="642">
        <v>11604741</v>
      </c>
    </row>
    <row r="187" spans="1:47" ht="12.9" x14ac:dyDescent="0.35">
      <c r="A187" s="406">
        <f>SUM(P186:P190)</f>
        <v>0</v>
      </c>
      <c r="B187" s="407"/>
      <c r="C187" s="407" t="s">
        <v>730</v>
      </c>
      <c r="D187" s="931"/>
      <c r="E187" s="427">
        <v>20</v>
      </c>
      <c r="F187" s="407"/>
      <c r="G187" s="409">
        <v>0</v>
      </c>
      <c r="H187" s="376">
        <f>IF(I187=TRUE,1,IF(G187&gt;0,1,0))</f>
        <v>0</v>
      </c>
      <c r="I187" s="411" t="b">
        <f>IF(G187=6,TRUE,FALSE)</f>
        <v>0</v>
      </c>
      <c r="J187" s="411" t="b">
        <f>IF(G187=1,TRUE,FALSE)</f>
        <v>0</v>
      </c>
      <c r="K187" s="412" t="b">
        <f>IF(G187=2,TRUE,FALSE)</f>
        <v>0</v>
      </c>
      <c r="L187" s="411" t="b">
        <f>IF(G187=3,TRUE,FALSE)</f>
        <v>0</v>
      </c>
      <c r="M187" s="411" t="b">
        <f>IF(G187=4,TRUE,FALSE)</f>
        <v>0</v>
      </c>
      <c r="N187" s="411" t="b">
        <f>IF(G187=5,TRUE,FALSE)</f>
        <v>0</v>
      </c>
      <c r="O187" s="407"/>
      <c r="P187" s="408">
        <f>IF(J187=TRUE,E187,IF(K187=TRUE,E187*0.85,IF(L187=TRUE,E187*0.7,IF(M187=TRUE,E187*0.5,0))))</f>
        <v>0</v>
      </c>
      <c r="Q187" s="413">
        <f>IF(I187=TRUE,0,E187)</f>
        <v>20</v>
      </c>
      <c r="R187" s="386"/>
      <c r="S187" s="81" t="s">
        <v>1698</v>
      </c>
      <c r="T187" s="81" t="s">
        <v>1708</v>
      </c>
      <c r="Z187" s="532" t="s">
        <v>1049</v>
      </c>
      <c r="AA187" s="81">
        <f>IF(Camping!O49="yes",2,IF(Camping!O49="no",1,0))</f>
        <v>0</v>
      </c>
      <c r="AB187" s="81">
        <f>IF(SUM(AB188:AB193)&gt;0,3,0)</f>
        <v>0</v>
      </c>
      <c r="AC187" s="81">
        <f>SUM(AA187:AB187)</f>
        <v>0</v>
      </c>
      <c r="AE187" s="462"/>
      <c r="AF187" s="462" t="s">
        <v>1864</v>
      </c>
      <c r="AG187" s="462">
        <f>IF(Camping!O49&lt;&gt;"yes",0,IF(LEFT(Camping!M224,8)="For each",1,IF(Camping!M224="",1,0)))</f>
        <v>0</v>
      </c>
      <c r="AH187" s="466"/>
      <c r="AN187" s="81" t="str">
        <f>C178</f>
        <v>APPLICATIONS</v>
      </c>
      <c r="AO187" s="387">
        <f>$D$178*(Q178-P178)</f>
        <v>300</v>
      </c>
      <c r="AP187" s="387"/>
      <c r="AQ187" s="641">
        <v>1839</v>
      </c>
      <c r="AR187" t="s">
        <v>2407</v>
      </c>
      <c r="AS187" t="s">
        <v>2408</v>
      </c>
      <c r="AT187" t="s">
        <v>2336</v>
      </c>
      <c r="AU187" s="642">
        <v>3009920</v>
      </c>
    </row>
    <row r="188" spans="1:47" ht="12.9" x14ac:dyDescent="0.35">
      <c r="A188" s="406">
        <f>SUM(Q186:Q190)</f>
        <v>100</v>
      </c>
      <c r="B188" s="407"/>
      <c r="C188" s="407" t="s">
        <v>732</v>
      </c>
      <c r="D188" s="931"/>
      <c r="E188" s="427">
        <v>15</v>
      </c>
      <c r="F188" s="407"/>
      <c r="G188" s="409">
        <v>0</v>
      </c>
      <c r="H188" s="376">
        <f>IF(G188&gt;0,1,0)</f>
        <v>0</v>
      </c>
      <c r="I188" s="554"/>
      <c r="J188" s="411" t="b">
        <f>IF(G188=1,TRUE,FALSE)</f>
        <v>0</v>
      </c>
      <c r="K188" s="412" t="b">
        <f>IF(G188=2,TRUE,FALSE)</f>
        <v>0</v>
      </c>
      <c r="L188" s="411" t="b">
        <f>IF(G188=3,TRUE,FALSE)</f>
        <v>0</v>
      </c>
      <c r="M188" s="411" t="b">
        <f>IF(G188=4,TRUE,FALSE)</f>
        <v>0</v>
      </c>
      <c r="N188" s="411" t="b">
        <f>IF(G188=5,TRUE,FALSE)</f>
        <v>0</v>
      </c>
      <c r="O188" s="407"/>
      <c r="P188" s="408">
        <f>IF(J188=TRUE,E188,IF(K188=TRUE,E188*0.85,IF(L188=TRUE,E188*0.7,IF(M188=TRUE,E188*0.5,0))))</f>
        <v>0</v>
      </c>
      <c r="Q188" s="413">
        <f>E188</f>
        <v>15</v>
      </c>
      <c r="R188" s="386"/>
      <c r="S188" s="81" t="s">
        <v>1688</v>
      </c>
      <c r="T188" s="81">
        <f>IF(AA231=2,30,0)</f>
        <v>0</v>
      </c>
      <c r="X188" s="387" t="s">
        <v>1711</v>
      </c>
      <c r="Y188" s="81" t="s">
        <v>1712</v>
      </c>
      <c r="Z188" s="526" t="s">
        <v>1050</v>
      </c>
      <c r="AA188" s="81" t="b">
        <v>0</v>
      </c>
      <c r="AB188" s="81">
        <f t="shared" ref="AB188:AB193" si="70">IF(AA188,1,0)</f>
        <v>0</v>
      </c>
      <c r="AE188" s="462"/>
      <c r="AF188" s="81" t="s">
        <v>1865</v>
      </c>
      <c r="AG188" s="462">
        <f>IF(Camping!O49&lt;&gt;"yes",0,IF(LEFT(Camping!M228,8)="For each",1,IF(Camping!M228="",1,0)))</f>
        <v>0</v>
      </c>
      <c r="AH188" s="466"/>
      <c r="AN188" s="81" t="str">
        <f>C179</f>
        <v>REFERENCES</v>
      </c>
      <c r="AO188" s="387">
        <f>$D$178*(Q179-P179)</f>
        <v>300</v>
      </c>
      <c r="AQ188" s="641">
        <v>1843</v>
      </c>
      <c r="AR188" t="s">
        <v>2409</v>
      </c>
      <c r="AS188" t="s">
        <v>2410</v>
      </c>
      <c r="AT188" t="s">
        <v>2336</v>
      </c>
      <c r="AU188" s="642">
        <v>4232659</v>
      </c>
    </row>
    <row r="189" spans="1:47" ht="12.9" x14ac:dyDescent="0.35">
      <c r="A189" s="414" t="str">
        <f>IF(B3&lt;&gt;3,"",IF(H185=5,A187/A188,"grade(s) missing"))</f>
        <v/>
      </c>
      <c r="B189" s="379">
        <f>IF(A189="grade(s) missing",0,1)</f>
        <v>1</v>
      </c>
      <c r="C189" s="407" t="s">
        <v>733</v>
      </c>
      <c r="D189" s="931"/>
      <c r="E189" s="427">
        <v>30</v>
      </c>
      <c r="F189" s="407"/>
      <c r="G189" s="409">
        <v>0</v>
      </c>
      <c r="H189" s="376">
        <f>IF(G189&gt;0,1,0)</f>
        <v>0</v>
      </c>
      <c r="I189" s="554"/>
      <c r="J189" s="411" t="b">
        <f>IF(G189=1,TRUE,FALSE)</f>
        <v>0</v>
      </c>
      <c r="K189" s="412" t="b">
        <f>IF(G189=2,TRUE,FALSE)</f>
        <v>0</v>
      </c>
      <c r="L189" s="411" t="b">
        <f>IF(G189=3,TRUE,FALSE)</f>
        <v>0</v>
      </c>
      <c r="M189" s="411" t="b">
        <f>IF(G189=4,TRUE,FALSE)</f>
        <v>0</v>
      </c>
      <c r="N189" s="411" t="b">
        <f>IF(G189=5,TRUE,FALSE)</f>
        <v>0</v>
      </c>
      <c r="O189" s="407"/>
      <c r="P189" s="408">
        <f>IF(J189=TRUE,E189,IF(K189=TRUE,E189*0.85,IF(L189=TRUE,E189*0.7,IF(M189=TRUE,E189*0.5,0))))</f>
        <v>0</v>
      </c>
      <c r="Q189" s="413">
        <f>E189</f>
        <v>30</v>
      </c>
      <c r="R189" s="386"/>
      <c r="S189" s="81" t="s">
        <v>1689</v>
      </c>
      <c r="T189" s="81">
        <f>IF(AA232=2,25,0)</f>
        <v>0</v>
      </c>
      <c r="Z189" s="526" t="s">
        <v>1051</v>
      </c>
      <c r="AA189" s="81" t="b">
        <v>0</v>
      </c>
      <c r="AB189" s="81">
        <f t="shared" si="70"/>
        <v>0</v>
      </c>
      <c r="AE189" s="462"/>
      <c r="AF189" s="462" t="s">
        <v>1871</v>
      </c>
      <c r="AG189" s="462">
        <f>IF(Camping!O49&lt;&gt;"yes",0,IF(LEFT(Camping!M232,8)="For each",1,IF(Camping!M232="",1,0)))</f>
        <v>0</v>
      </c>
      <c r="AH189" s="466"/>
      <c r="AN189" s="81" t="str">
        <f>C180</f>
        <v>CBCs</v>
      </c>
      <c r="AO189" s="387">
        <f>$D$178*(Q180-P180)</f>
        <v>300</v>
      </c>
      <c r="AQ189" s="641">
        <v>1851</v>
      </c>
      <c r="AR189" t="s">
        <v>2411</v>
      </c>
      <c r="AS189" t="s">
        <v>2412</v>
      </c>
      <c r="AT189" t="s">
        <v>2336</v>
      </c>
      <c r="AU189" s="642">
        <v>914368</v>
      </c>
    </row>
    <row r="190" spans="1:47" ht="12.9" x14ac:dyDescent="0.35">
      <c r="A190" s="416"/>
      <c r="B190" s="407"/>
      <c r="C190" s="407" t="s">
        <v>734</v>
      </c>
      <c r="D190" s="931"/>
      <c r="E190" s="427">
        <v>15</v>
      </c>
      <c r="F190" s="407"/>
      <c r="G190" s="409">
        <v>0</v>
      </c>
      <c r="H190" s="376">
        <f>IF(I190=TRUE,1,IF(G190&gt;0,1,0))</f>
        <v>0</v>
      </c>
      <c r="I190" s="411" t="b">
        <f>IF(G190=6,TRUE,FALSE)</f>
        <v>0</v>
      </c>
      <c r="J190" s="411" t="b">
        <f>IF(G190=1,TRUE,FALSE)</f>
        <v>0</v>
      </c>
      <c r="K190" s="412" t="b">
        <f>IF(G190=2,TRUE,FALSE)</f>
        <v>0</v>
      </c>
      <c r="L190" s="411" t="b">
        <f>IF(G190=3,TRUE,FALSE)</f>
        <v>0</v>
      </c>
      <c r="M190" s="411" t="b">
        <f>IF(G190=4,TRUE,FALSE)</f>
        <v>0</v>
      </c>
      <c r="N190" s="411" t="b">
        <f>IF(G190=5,TRUE,FALSE)</f>
        <v>0</v>
      </c>
      <c r="O190" s="407"/>
      <c r="P190" s="408">
        <f>IF(J190=TRUE,E190,IF(K190=TRUE,E190*0.85,IF(L190=TRUE,E190*0.7,IF(M190=TRUE,E190*0.5,0))))</f>
        <v>0</v>
      </c>
      <c r="Q190" s="413">
        <f>IF(I190=TRUE,0,E190)</f>
        <v>15</v>
      </c>
      <c r="R190" s="386"/>
      <c r="S190" s="81" t="s">
        <v>1690</v>
      </c>
      <c r="T190" s="81">
        <f>IF(AA233=2,5,0)</f>
        <v>0</v>
      </c>
      <c r="Z190" s="526" t="s">
        <v>1052</v>
      </c>
      <c r="AA190" s="81" t="b">
        <v>0</v>
      </c>
      <c r="AB190" s="81">
        <f t="shared" si="70"/>
        <v>0</v>
      </c>
      <c r="AC190" s="81">
        <f>AB190+AB191</f>
        <v>0</v>
      </c>
      <c r="AE190" s="462"/>
      <c r="AF190" s="462" t="s">
        <v>1866</v>
      </c>
      <c r="AG190" s="462">
        <f>IF(AB198=1,0,IF(LEFT(Camping!M244,8)="For each",1,IF(Camping!M244="",1,0)))</f>
        <v>1</v>
      </c>
      <c r="AH190" s="466"/>
      <c r="AN190" s="81" t="str">
        <f>C181</f>
        <v>TRAINING</v>
      </c>
      <c r="AO190" s="387">
        <f>$D$178*(Q181-P181)</f>
        <v>300</v>
      </c>
      <c r="AQ190" s="641">
        <v>1853</v>
      </c>
      <c r="AR190" t="s">
        <v>2413</v>
      </c>
      <c r="AS190" t="s">
        <v>2414</v>
      </c>
      <c r="AT190" t="s">
        <v>2336</v>
      </c>
      <c r="AU190" s="642">
        <v>3083016</v>
      </c>
    </row>
    <row r="191" spans="1:47" ht="13.3" thickBot="1" x14ac:dyDescent="0.4">
      <c r="A191" s="432" t="str">
        <f>IF(B3&lt;&gt;3,"",IF(A189="grade(s) missing","",IF(A189&gt;=0.98,"DIAMOND MEDAL",IF(A189&gt;=0.83,"PLATINUM MEDAL",IF(A189&gt;=0.68,"GOLD MEDAL",IF(A189&gt;=0.48,"YELLOW FLAG","RED FLAG"))))))</f>
        <v/>
      </c>
      <c r="B191" s="418"/>
      <c r="C191" s="418"/>
      <c r="D191" s="932"/>
      <c r="E191" s="419"/>
      <c r="F191" s="418"/>
      <c r="G191" s="419"/>
      <c r="H191" s="418"/>
      <c r="I191" s="418"/>
      <c r="J191" s="419"/>
      <c r="K191" s="419"/>
      <c r="L191" s="419"/>
      <c r="M191" s="419"/>
      <c r="N191" s="419"/>
      <c r="O191" s="418"/>
      <c r="P191" s="419"/>
      <c r="Q191" s="424"/>
      <c r="R191" s="386"/>
      <c r="S191" s="81" t="s">
        <v>1691</v>
      </c>
      <c r="T191" s="81">
        <f>IF(AA234=2,40,0)</f>
        <v>0</v>
      </c>
      <c r="Z191" s="526" t="s">
        <v>1053</v>
      </c>
      <c r="AB191" s="81">
        <f t="shared" si="70"/>
        <v>0</v>
      </c>
      <c r="AE191" s="462"/>
      <c r="AF191" s="462" t="s">
        <v>1867</v>
      </c>
      <c r="AG191" s="462">
        <f>IF(AB198=1,0,IF(LEFT(Camping!M246,8)="For each",1,IF(Camping!M246="",1,0)))</f>
        <v>1</v>
      </c>
      <c r="AH191" s="466"/>
      <c r="AN191" s="81" t="str">
        <f>C182</f>
        <v>FEEDBACK</v>
      </c>
      <c r="AO191" s="387">
        <f>$D$178*(Q182-P182)</f>
        <v>150</v>
      </c>
      <c r="AQ191" s="641">
        <v>1855</v>
      </c>
      <c r="AR191" t="s">
        <v>2415</v>
      </c>
      <c r="AS191" t="s">
        <v>2416</v>
      </c>
      <c r="AT191" t="s">
        <v>2336</v>
      </c>
      <c r="AU191" s="642">
        <v>2405072</v>
      </c>
    </row>
    <row r="192" spans="1:47" ht="13.75" thickTop="1" thickBot="1" x14ac:dyDescent="0.4">
      <c r="A192" s="386"/>
      <c r="H192" s="93">
        <f>SUM(H193:H194)</f>
        <v>0</v>
      </c>
      <c r="I192" s="425" t="s">
        <v>167</v>
      </c>
      <c r="J192" s="425" t="s">
        <v>172</v>
      </c>
      <c r="K192" s="425" t="s">
        <v>168</v>
      </c>
      <c r="L192" s="425" t="s">
        <v>169</v>
      </c>
      <c r="M192" s="425" t="s">
        <v>170</v>
      </c>
      <c r="N192" s="425" t="s">
        <v>171</v>
      </c>
      <c r="Q192" s="407"/>
      <c r="S192" s="81" t="s">
        <v>891</v>
      </c>
      <c r="T192" s="391">
        <f>100-SUM(T193:T196)</f>
        <v>100</v>
      </c>
      <c r="U192" s="461" t="str">
        <f>IF(AG235=0,"",IF(SUM(AC239:AC241)&lt;3,"",IF(T192&gt;=98,"DIAMOND MEDAL",IF(T192&gt;=83,"PLATINUM MEDAL",IF(T192&gt;=68,"GOLD MEDAL",IF(T192&gt;=48,"YELLOW FLAG","RED FLAG"))))))</f>
        <v/>
      </c>
      <c r="Z192" s="526" t="s">
        <v>1054</v>
      </c>
      <c r="AB192" s="81">
        <f t="shared" si="70"/>
        <v>0</v>
      </c>
      <c r="AE192" s="462"/>
      <c r="AF192" s="462" t="s">
        <v>1868</v>
      </c>
      <c r="AG192" s="462">
        <f>IF(AB198=1,0,IF(LEFT(Camping!M248,8)="For each",1,IF(Camping!M248="",1,0)))</f>
        <v>1</v>
      </c>
      <c r="AH192" s="466"/>
      <c r="AN192" s="81" t="str">
        <f>C167</f>
        <v>SECURITY &amp; ACCESS</v>
      </c>
      <c r="AO192" s="387">
        <f>$D$178*(Q167-P167)</f>
        <v>300</v>
      </c>
      <c r="AQ192" s="641">
        <v>1857</v>
      </c>
      <c r="AR192" t="s">
        <v>2417</v>
      </c>
      <c r="AS192" t="s">
        <v>2418</v>
      </c>
      <c r="AT192" t="s">
        <v>2336</v>
      </c>
      <c r="AU192" s="642">
        <v>2964232</v>
      </c>
    </row>
    <row r="193" spans="1:47" ht="13.3" thickTop="1" x14ac:dyDescent="0.35">
      <c r="A193" s="393" t="s">
        <v>735</v>
      </c>
      <c r="B193" s="394"/>
      <c r="C193" s="394" t="s">
        <v>736</v>
      </c>
      <c r="D193" s="935">
        <v>10</v>
      </c>
      <c r="E193" s="426">
        <v>49</v>
      </c>
      <c r="F193" s="394"/>
      <c r="G193" s="397">
        <v>0</v>
      </c>
      <c r="H193" s="398">
        <f>IF(G193&gt;0,1,0)</f>
        <v>0</v>
      </c>
      <c r="I193" s="555"/>
      <c r="J193" s="400" t="b">
        <f>IF(G193=1,TRUE,FALSE)</f>
        <v>0</v>
      </c>
      <c r="K193" s="401" t="b">
        <f>IF(G193=2,TRUE,IF(G193=6,TRUE,FALSE))</f>
        <v>0</v>
      </c>
      <c r="L193" s="400" t="b">
        <f>IF(G193=3,TRUE,IF(G193=7,TRUE,FALSE))</f>
        <v>0</v>
      </c>
      <c r="M193" s="400" t="b">
        <f>IF(G193=4,TRUE,FALSE)</f>
        <v>0</v>
      </c>
      <c r="N193" s="400" t="b">
        <f>IF(G193=5,TRUE,FALSE)</f>
        <v>0</v>
      </c>
      <c r="O193" s="394"/>
      <c r="P193" s="395">
        <f>IF(J193=TRUE,E193,IF(K193=TRUE,E193*0.85,IF(L193=TRUE,E193*0.7,IF(M193=TRUE,E193*0.5,0))))</f>
        <v>0</v>
      </c>
      <c r="Q193" s="402">
        <f>E193</f>
        <v>49</v>
      </c>
      <c r="R193" s="386"/>
      <c r="S193" s="81" t="s">
        <v>1698</v>
      </c>
      <c r="T193" s="81" t="s">
        <v>1708</v>
      </c>
      <c r="Z193" s="526" t="s">
        <v>119</v>
      </c>
      <c r="AB193" s="81">
        <f t="shared" si="70"/>
        <v>0</v>
      </c>
      <c r="AE193" s="462"/>
      <c r="AF193" s="462" t="s">
        <v>1869</v>
      </c>
      <c r="AG193" s="462">
        <f>IF(AB198=1,0,IF(LEFT(Camping!M250,8)="For each",1,IF(Camping!M250="",1,0)))</f>
        <v>1</v>
      </c>
      <c r="AH193" s="466"/>
      <c r="AN193" s="81" t="str">
        <f>C183</f>
        <v>TRANSPORTATION</v>
      </c>
      <c r="AO193" s="387">
        <f>$D$178*(Q183-P183)</f>
        <v>150</v>
      </c>
      <c r="AP193" s="387"/>
      <c r="AQ193" s="641">
        <v>1863</v>
      </c>
      <c r="AR193" t="s">
        <v>2419</v>
      </c>
      <c r="AS193" t="s">
        <v>2420</v>
      </c>
      <c r="AT193" t="s">
        <v>2336</v>
      </c>
      <c r="AU193" s="642">
        <v>2296099</v>
      </c>
    </row>
    <row r="194" spans="1:47" ht="12.9" x14ac:dyDescent="0.35">
      <c r="A194" s="406">
        <f>SUM(P193:P194)</f>
        <v>0</v>
      </c>
      <c r="B194" s="407"/>
      <c r="C194" s="407" t="s">
        <v>737</v>
      </c>
      <c r="D194" s="931"/>
      <c r="E194" s="427">
        <v>51</v>
      </c>
      <c r="F194" s="407"/>
      <c r="G194" s="409">
        <v>0</v>
      </c>
      <c r="H194" s="376">
        <f>IF(G194&gt;0,1,0)</f>
        <v>0</v>
      </c>
      <c r="I194" s="556"/>
      <c r="J194" s="411" t="b">
        <f>IF(G194=1,TRUE,FALSE)</f>
        <v>0</v>
      </c>
      <c r="K194" s="412" t="b">
        <f>IF(G194=2,TRUE,FALSE)</f>
        <v>0</v>
      </c>
      <c r="L194" s="411" t="b">
        <f>IF(G194=3,TRUE,FALSE)</f>
        <v>0</v>
      </c>
      <c r="M194" s="411" t="b">
        <f>IF(G194=4,TRUE,FALSE)</f>
        <v>0</v>
      </c>
      <c r="N194" s="411" t="b">
        <f>IF(G194=5,TRUE,FALSE)</f>
        <v>0</v>
      </c>
      <c r="O194" s="407"/>
      <c r="P194" s="408">
        <f>IF(J194=TRUE,E194,IF(K194=TRUE,E194*0.85,IF(L194=TRUE,E194*0.7,IF(M194=TRUE,E194*0.5,0))))</f>
        <v>0</v>
      </c>
      <c r="Q194" s="413">
        <f>E194</f>
        <v>51</v>
      </c>
      <c r="R194" s="386"/>
      <c r="S194" s="81" t="s">
        <v>1692</v>
      </c>
      <c r="T194" s="81">
        <f>IF(AA239=2,50,0)</f>
        <v>0</v>
      </c>
      <c r="Z194" s="526" t="s">
        <v>1061</v>
      </c>
      <c r="AA194" s="81">
        <v>0</v>
      </c>
      <c r="AB194" s="81" t="b">
        <f>AND(AA194&lt;&gt;2,AA195&lt;&gt;2,AA196&lt;&gt;2)</f>
        <v>1</v>
      </c>
      <c r="AC194" s="81">
        <f>IF(AA194&gt;0,1,0)</f>
        <v>0</v>
      </c>
      <c r="AD194" s="81">
        <f>IF(SUM(AC194:AC196)=3,6,0)</f>
        <v>0</v>
      </c>
      <c r="AE194" s="462">
        <f>IF(AD194+AD198=8,1,IF(AC203+AD198=10,1,IF(AD195+AD198=11,1,2)))</f>
        <v>2</v>
      </c>
      <c r="AF194" s="462"/>
      <c r="AG194" s="462"/>
      <c r="AH194" s="466"/>
      <c r="AN194" s="81" t="str">
        <f>C166</f>
        <v>EMERGENCY TRANSPORT</v>
      </c>
      <c r="AO194" s="387">
        <f>$D$166*(Q166-P166)</f>
        <v>450</v>
      </c>
      <c r="AQ194" s="641">
        <v>1871</v>
      </c>
      <c r="AR194" t="s">
        <v>2421</v>
      </c>
      <c r="AS194" t="s">
        <v>2422</v>
      </c>
      <c r="AT194" t="s">
        <v>2336</v>
      </c>
      <c r="AU194" s="642">
        <v>8242261</v>
      </c>
    </row>
    <row r="195" spans="1:47" ht="12.9" x14ac:dyDescent="0.35">
      <c r="A195" s="406">
        <f>SUM(Q193:Q194)</f>
        <v>100</v>
      </c>
      <c r="B195" s="407"/>
      <c r="C195" s="407"/>
      <c r="D195" s="931"/>
      <c r="E195" s="408"/>
      <c r="F195" s="407"/>
      <c r="G195" s="408"/>
      <c r="H195" s="407"/>
      <c r="I195" s="407"/>
      <c r="J195" s="408"/>
      <c r="K195" s="408"/>
      <c r="L195" s="408"/>
      <c r="M195" s="408"/>
      <c r="N195" s="408"/>
      <c r="O195" s="407"/>
      <c r="P195" s="408"/>
      <c r="Q195" s="413"/>
      <c r="S195" s="81" t="s">
        <v>1689</v>
      </c>
      <c r="T195" s="81">
        <f>IF(AA240=2,20,0)</f>
        <v>0</v>
      </c>
      <c r="Z195" s="526" t="s">
        <v>1055</v>
      </c>
      <c r="AA195" s="81">
        <v>0</v>
      </c>
      <c r="AC195" s="81">
        <f>IF(AA195&gt;0,1,0)</f>
        <v>0</v>
      </c>
      <c r="AD195" s="81">
        <f>IF(AD194+AC203=12,6,0)</f>
        <v>0</v>
      </c>
      <c r="AE195" s="462"/>
      <c r="AF195" s="462"/>
      <c r="AG195" s="462"/>
      <c r="AH195" s="466"/>
      <c r="AN195" s="81" t="str">
        <f>C186</f>
        <v>DRIVER EXPERIENCE</v>
      </c>
      <c r="AO195" s="387">
        <f>$D$166*(Q186-P186)</f>
        <v>300</v>
      </c>
      <c r="AQ195" s="641">
        <v>1879</v>
      </c>
      <c r="AR195" t="s">
        <v>2423</v>
      </c>
      <c r="AS195" t="s">
        <v>2424</v>
      </c>
      <c r="AT195" t="s">
        <v>2336</v>
      </c>
      <c r="AU195" s="642">
        <v>2828057</v>
      </c>
    </row>
    <row r="196" spans="1:47" ht="12.9" x14ac:dyDescent="0.35">
      <c r="A196" s="414" t="str">
        <f>IF(B3&lt;&gt;3,"",IF(H192=2,A194/A195,"grade(s) missing"))</f>
        <v/>
      </c>
      <c r="B196" s="379">
        <f>IF(A196="grade(s) missing",0,1)</f>
        <v>1</v>
      </c>
      <c r="C196" s="407"/>
      <c r="D196" s="931"/>
      <c r="E196" s="408"/>
      <c r="F196" s="407"/>
      <c r="G196" s="408"/>
      <c r="H196" s="407"/>
      <c r="I196" s="407"/>
      <c r="J196" s="408"/>
      <c r="K196" s="408"/>
      <c r="L196" s="408"/>
      <c r="M196" s="408">
        <f>IF(M193=TRUE,IF(M195=1,1,2),0)</f>
        <v>0</v>
      </c>
      <c r="N196" s="408">
        <f>IF(N193=TRUE,IF(M195=1,1,2),0)</f>
        <v>0</v>
      </c>
      <c r="O196" s="407"/>
      <c r="P196" s="408"/>
      <c r="Q196" s="413"/>
      <c r="S196" s="81" t="s">
        <v>1693</v>
      </c>
      <c r="T196" s="81">
        <f>IF(AA241=2,30,0)</f>
        <v>0</v>
      </c>
      <c r="Z196" s="526" t="s">
        <v>1056</v>
      </c>
      <c r="AA196" s="81">
        <v>0</v>
      </c>
      <c r="AC196" s="81">
        <f>IF(AA196&gt;0,1,0)</f>
        <v>0</v>
      </c>
      <c r="AE196" s="462"/>
      <c r="AF196" s="462"/>
      <c r="AG196" s="462"/>
      <c r="AH196" s="466"/>
      <c r="AN196" s="81" t="str">
        <f>C187</f>
        <v>DRIVER TRAINING</v>
      </c>
      <c r="AO196" s="387">
        <f>$D$166*(Q187-P187)</f>
        <v>300</v>
      </c>
      <c r="AQ196" s="641">
        <v>1883</v>
      </c>
      <c r="AR196" t="s">
        <v>2425</v>
      </c>
      <c r="AS196" t="s">
        <v>2426</v>
      </c>
      <c r="AT196" t="s">
        <v>2336</v>
      </c>
      <c r="AU196" s="642">
        <v>1675706</v>
      </c>
    </row>
    <row r="197" spans="1:47" ht="13.3" thickBot="1" x14ac:dyDescent="0.4">
      <c r="A197" s="432" t="str">
        <f>IF(B3&lt;&gt;3,"",IF(A196="grade(s) missing","",IF(A196&gt;=0.98,"DIAMOND MEDAL",IF(A196&gt;=0.83,"PLATINUM MEDAL",IF(A196&gt;=0.68,"GOLD MEDAL",IF(A196&gt;=0.48,"YELLOW FLAG","RED FLAG"))))))</f>
        <v/>
      </c>
      <c r="B197" s="418"/>
      <c r="C197" s="418"/>
      <c r="D197" s="932"/>
      <c r="E197" s="419"/>
      <c r="F197" s="418" t="b">
        <v>0</v>
      </c>
      <c r="G197" s="419"/>
      <c r="H197" s="418"/>
      <c r="I197" s="418"/>
      <c r="J197" s="419"/>
      <c r="K197" s="419"/>
      <c r="L197" s="419"/>
      <c r="M197" s="419">
        <f>M196+N196</f>
        <v>0</v>
      </c>
      <c r="N197" s="419"/>
      <c r="O197" s="418"/>
      <c r="P197" s="419"/>
      <c r="Q197" s="424"/>
      <c r="S197" s="81" t="s">
        <v>889</v>
      </c>
      <c r="T197" s="391">
        <f>100-SUM(T198:T201)</f>
        <v>100</v>
      </c>
      <c r="U197" s="461" t="str">
        <f>IF(AH242=0,"",IF(SUM(AC247:AC250)&lt;4,"",IF(T197&gt;=98,"DIAMOND MEDAL",IF(T197&gt;=83,"PLATINUM MEDAL",IF(T197&gt;=68,"GOLD MEDAL",IF(T197&gt;=48,"YELLOW FLAG","RED FLAG"))))))</f>
        <v/>
      </c>
      <c r="Z197" s="532" t="s">
        <v>1057</v>
      </c>
      <c r="AA197" s="81">
        <f>IF(Camping!O59="no",1,0)</f>
        <v>0</v>
      </c>
      <c r="AC197" s="81">
        <f>IF(SUM(AB199:AB202)&gt;0,1,0)</f>
        <v>0</v>
      </c>
      <c r="AD197" s="81">
        <f>AB198+AC197</f>
        <v>0</v>
      </c>
      <c r="AE197" s="462"/>
      <c r="AF197" s="462"/>
      <c r="AG197" s="462"/>
      <c r="AH197" s="466"/>
      <c r="AN197" s="81" t="str">
        <f>C188</f>
        <v>PERSONAL VEHICLES</v>
      </c>
      <c r="AO197" s="387">
        <f>$D$166*(Q188-P188)</f>
        <v>225</v>
      </c>
      <c r="AQ197" s="641">
        <v>1887</v>
      </c>
      <c r="AR197" t="s">
        <v>2427</v>
      </c>
      <c r="AS197" t="s">
        <v>2428</v>
      </c>
      <c r="AT197" t="s">
        <v>2336</v>
      </c>
      <c r="AU197" s="642">
        <v>446719</v>
      </c>
    </row>
    <row r="198" spans="1:47" ht="13.3" thickTop="1" x14ac:dyDescent="0.35">
      <c r="S198" s="81" t="s">
        <v>1698</v>
      </c>
      <c r="T198" s="81">
        <f>IF(Y243=1,10,IF(Y243=2,5,IF(Y243=3,3,IF(Y243=4,1.5,0))))</f>
        <v>0</v>
      </c>
      <c r="X198" s="387" t="s">
        <v>1711</v>
      </c>
      <c r="Y198" s="81" t="s">
        <v>1712</v>
      </c>
      <c r="Z198" s="526" t="s">
        <v>591</v>
      </c>
      <c r="AA198" s="81" t="b">
        <v>0</v>
      </c>
      <c r="AB198" s="81">
        <f>IF(AA198,1,0)</f>
        <v>0</v>
      </c>
      <c r="AC198" s="81">
        <f>IF(AA198,0,3)</f>
        <v>3</v>
      </c>
      <c r="AD198" s="81">
        <f>AC198+AA187</f>
        <v>3</v>
      </c>
      <c r="AE198" s="462"/>
      <c r="AF198" s="462"/>
      <c r="AG198" s="462"/>
      <c r="AH198" s="466"/>
      <c r="AN198" s="81" t="str">
        <f>C189</f>
        <v>VEHICLE TYPE</v>
      </c>
      <c r="AO198" s="387">
        <f>$D$166*(Q189-P189)</f>
        <v>450</v>
      </c>
      <c r="AP198" s="387"/>
      <c r="AQ198" s="641">
        <v>1889</v>
      </c>
      <c r="AR198" t="s">
        <v>2429</v>
      </c>
      <c r="AS198" t="s">
        <v>2430</v>
      </c>
      <c r="AT198" t="s">
        <v>2336</v>
      </c>
      <c r="AU198" s="642">
        <v>951903</v>
      </c>
    </row>
    <row r="199" spans="1:47" ht="13.3" thickBot="1" x14ac:dyDescent="0.4">
      <c r="E199" s="386" t="s">
        <v>1681</v>
      </c>
      <c r="S199" s="81" t="s">
        <v>1694</v>
      </c>
      <c r="T199" s="81">
        <f>IF(AA248="no",30,0)</f>
        <v>0</v>
      </c>
      <c r="Z199" s="526" t="s">
        <v>1059</v>
      </c>
      <c r="AA199" s="81" t="b">
        <v>0</v>
      </c>
      <c r="AB199" s="81">
        <f>IF(AA199,1,0)</f>
        <v>0</v>
      </c>
      <c r="AE199" s="462"/>
      <c r="AF199" s="462"/>
      <c r="AG199" s="462"/>
      <c r="AH199" s="466"/>
      <c r="AN199" s="81" t="str">
        <f>C190</f>
        <v>MAINTENANCE</v>
      </c>
      <c r="AO199" s="387">
        <f>$D$166*(Q190-P190)</f>
        <v>225</v>
      </c>
      <c r="AQ199" s="641">
        <v>1891</v>
      </c>
      <c r="AR199" t="s">
        <v>2431</v>
      </c>
      <c r="AS199" t="s">
        <v>2432</v>
      </c>
      <c r="AT199" t="s">
        <v>2336</v>
      </c>
      <c r="AU199" s="642">
        <v>728116</v>
      </c>
    </row>
    <row r="200" spans="1:47" ht="13.3" thickTop="1" x14ac:dyDescent="0.35">
      <c r="A200" s="503" t="s">
        <v>565</v>
      </c>
      <c r="C200" s="81" t="str">
        <f>IF(SUM(B153:B176)=4, A201/A202,"grade(s) missing")</f>
        <v>grade(s) missing</v>
      </c>
      <c r="E200" s="385" t="s">
        <v>715</v>
      </c>
      <c r="J200" s="386" t="b">
        <f>ISNUMBER(A154)</f>
        <v>0</v>
      </c>
      <c r="S200" s="81" t="s">
        <v>1695</v>
      </c>
      <c r="T200" s="81">
        <f>IF(AA249="no",30,0)</f>
        <v>0</v>
      </c>
      <c r="Z200" s="526" t="s">
        <v>1051</v>
      </c>
      <c r="AB200" s="81">
        <f>IF(AA200,1,0)</f>
        <v>0</v>
      </c>
      <c r="AE200" s="462"/>
      <c r="AF200" s="462"/>
      <c r="AG200" s="462"/>
      <c r="AH200" s="466"/>
      <c r="AN200" s="81" t="str">
        <f>C193</f>
        <v>WAIVERS</v>
      </c>
      <c r="AO200" s="387">
        <f>$D$193*(Q193-P193)</f>
        <v>490</v>
      </c>
      <c r="AQ200" s="641">
        <v>1892</v>
      </c>
      <c r="AR200" t="s">
        <v>2433</v>
      </c>
      <c r="AS200" t="s">
        <v>2434</v>
      </c>
      <c r="AT200" t="s">
        <v>2336</v>
      </c>
      <c r="AU200" s="642">
        <v>659110</v>
      </c>
    </row>
    <row r="201" spans="1:47" ht="12.9" x14ac:dyDescent="0.35">
      <c r="A201" s="504">
        <f>IF(B3&lt;&gt;3,(A152*0.2+A158*0.2+A167*0.1+A173*0.1),(A152*0.2+A158*0.2+A167*0.1+A173*0.1+A179*0.2+A187*0.1+A194*0.1))</f>
        <v>0</v>
      </c>
      <c r="C201" s="81" t="str">
        <f>IF(SUM(B153:B196)=7,A201/A202,"grade(s) missing")</f>
        <v>grade(s) missing</v>
      </c>
      <c r="E201" s="385" t="s">
        <v>907</v>
      </c>
      <c r="J201" s="386" t="b">
        <f>ISNUMBER(A160)</f>
        <v>0</v>
      </c>
      <c r="S201" s="81" t="s">
        <v>1696</v>
      </c>
      <c r="T201" s="81">
        <f>IF(AA250="no",30,0)</f>
        <v>0</v>
      </c>
      <c r="Z201" s="526" t="s">
        <v>1058</v>
      </c>
      <c r="AB201" s="81">
        <f>IF(AA201,1,0)</f>
        <v>0</v>
      </c>
      <c r="AE201" s="462"/>
      <c r="AF201" s="462"/>
      <c r="AG201" s="462"/>
      <c r="AH201" s="466"/>
      <c r="AN201" s="81" t="str">
        <f>C194</f>
        <v>CONTRACTS</v>
      </c>
      <c r="AO201" s="387">
        <f>$D$193*(Q194-P194)</f>
        <v>510</v>
      </c>
      <c r="AQ201" s="641">
        <v>1895</v>
      </c>
      <c r="AR201" t="s">
        <v>2435</v>
      </c>
      <c r="AS201" t="s">
        <v>2436</v>
      </c>
      <c r="AT201" t="s">
        <v>2336</v>
      </c>
      <c r="AU201" s="642">
        <v>9787479</v>
      </c>
    </row>
    <row r="202" spans="1:47" ht="12.9" x14ac:dyDescent="0.35">
      <c r="A202" s="504">
        <f>IF(B3&lt;&gt;3,(A153*0.2+A159*0.2+A168*0.1+A174*0.1),(A153*0.2+A159*0.2+A168*0.1+A174*0.1+A180*0.2+A188*0.1+A195*0.1))</f>
        <v>60</v>
      </c>
      <c r="E202" s="385" t="s">
        <v>186</v>
      </c>
      <c r="J202" s="386" t="b">
        <f>ISNUMBER(A169)</f>
        <v>0</v>
      </c>
      <c r="S202" s="81" t="s">
        <v>886</v>
      </c>
      <c r="T202" s="391">
        <f>IF(AB253,2*(50-SUM(T205:T207)),100-SUM(T204:T207))</f>
        <v>100</v>
      </c>
      <c r="U202" s="461" t="str">
        <f>IF(AH256=1,"",IF(SUM(U203:U204)=1,IF(T202&gt;=98,"DIAMOND MEDAL",IF(T202&gt;=83,"PLATINUM MEDAL",IF(T202&gt;=68,"GOLD MEDAL",IF(T202&gt;=48,"YELLOW FLAG","RED FLAG")))),""))</f>
        <v/>
      </c>
      <c r="Z202" s="526" t="s">
        <v>119</v>
      </c>
      <c r="AB202" s="81">
        <f>IF(AA202,1,0)</f>
        <v>0</v>
      </c>
      <c r="AE202" s="462"/>
      <c r="AF202" s="462"/>
      <c r="AG202" s="462"/>
      <c r="AH202" s="466"/>
      <c r="AQ202" s="641">
        <v>1897</v>
      </c>
      <c r="AR202" t="s">
        <v>2437</v>
      </c>
      <c r="AS202">
        <v>0</v>
      </c>
      <c r="AT202">
        <v>0</v>
      </c>
      <c r="AU202" s="642">
        <v>308005</v>
      </c>
    </row>
    <row r="203" spans="1:47" ht="12.9" x14ac:dyDescent="0.35">
      <c r="A203" s="505" t="str">
        <f>IF(B3=3,C200,C201)</f>
        <v>grade(s) missing</v>
      </c>
      <c r="E203" s="385" t="s">
        <v>1348</v>
      </c>
      <c r="J203" s="386" t="b">
        <f>ISNUMBER(A175)</f>
        <v>0</v>
      </c>
      <c r="S203" s="81" t="s">
        <v>1698</v>
      </c>
      <c r="T203" s="81" t="s">
        <v>1708</v>
      </c>
      <c r="U203" s="81">
        <f>IF(AB253,IF(SUM(AC258:AC259)=2,1,0),0)</f>
        <v>0</v>
      </c>
      <c r="Z203" s="526" t="s">
        <v>1056</v>
      </c>
      <c r="AA203" s="81">
        <v>0</v>
      </c>
      <c r="AB203" s="81">
        <f>IF(AA203=1,3,0)</f>
        <v>0</v>
      </c>
      <c r="AC203" s="81">
        <f>IF(AA203&gt;0,6,0)</f>
        <v>0</v>
      </c>
      <c r="AE203" s="462"/>
      <c r="AF203" s="462"/>
      <c r="AG203" s="462"/>
      <c r="AH203" s="466"/>
      <c r="AO203" s="387">
        <f>SUM(AO151:AO201)</f>
        <v>10250</v>
      </c>
      <c r="AP203" s="387"/>
      <c r="AQ203" s="641">
        <v>1903</v>
      </c>
      <c r="AR203" t="s">
        <v>2438</v>
      </c>
      <c r="AS203" t="s">
        <v>2439</v>
      </c>
      <c r="AT203" t="s">
        <v>2440</v>
      </c>
      <c r="AU203" s="642">
        <v>1112591</v>
      </c>
    </row>
    <row r="204" spans="1:47" ht="12.9" x14ac:dyDescent="0.35">
      <c r="A204" s="504"/>
      <c r="E204" s="385" t="s">
        <v>699</v>
      </c>
      <c r="J204" s="386" t="b">
        <f>ISNUMBER(A181)</f>
        <v>0</v>
      </c>
      <c r="S204" s="385" t="s">
        <v>1718</v>
      </c>
      <c r="T204" s="81">
        <f>IF(AA256=2,35,0)</f>
        <v>0</v>
      </c>
      <c r="U204" s="81">
        <f>IF(AB253,0,IF(SUM(AC256:AC259)=4,1,0))</f>
        <v>0</v>
      </c>
      <c r="AE204" s="462"/>
      <c r="AF204" s="462"/>
      <c r="AG204" s="462"/>
      <c r="AH204" s="466"/>
      <c r="AQ204" s="641">
        <v>1904</v>
      </c>
      <c r="AR204" t="s">
        <v>2441</v>
      </c>
      <c r="AS204" t="s">
        <v>2442</v>
      </c>
      <c r="AT204" t="s">
        <v>2440</v>
      </c>
      <c r="AU204" s="642">
        <v>1799348</v>
      </c>
    </row>
    <row r="205" spans="1:47" ht="13.3" thickBot="1" x14ac:dyDescent="0.4">
      <c r="A205" s="511" t="str">
        <f>IF(A203="grade(s) missing","",IF(A204=2,"RED FLAG",IF(A203&gt;=0.98,"DIAMOND MEDAL",IF(A203&gt;=0.83,"PLATINUM MEDAL",IF(A203&gt;=0.68,"GOLD MEDAL",IF(A203&gt;=0.48,"YELLOW FLAG","RED FLAG"))))))</f>
        <v/>
      </c>
      <c r="E205" s="385" t="s">
        <v>714</v>
      </c>
      <c r="J205" s="386" t="b">
        <f>ISNUMBER(A189)</f>
        <v>0</v>
      </c>
      <c r="S205" s="385" t="s">
        <v>1719</v>
      </c>
      <c r="T205" s="81">
        <f>IF(AA257=2,15,0)</f>
        <v>0</v>
      </c>
      <c r="Z205" s="532" t="s">
        <v>1062</v>
      </c>
      <c r="AC205" s="81">
        <f>IF(SUM(AB207:AB211)&gt;0,1,0)</f>
        <v>0</v>
      </c>
      <c r="AD205" s="81">
        <f>AB206+AC205</f>
        <v>0</v>
      </c>
      <c r="AE205" s="462"/>
      <c r="AF205" s="462" t="s">
        <v>1872</v>
      </c>
      <c r="AG205" s="462">
        <f>IF(AC205=0,1,IF(LEFT(Camping!M261,7)="Provide",0,IF(Camping!M261="",0,1)))</f>
        <v>1</v>
      </c>
      <c r="AH205" s="466"/>
      <c r="AI205" s="81" t="s">
        <v>1062</v>
      </c>
      <c r="AQ205" s="641">
        <v>1909</v>
      </c>
      <c r="AR205" t="s">
        <v>2443</v>
      </c>
      <c r="AS205" t="s">
        <v>2342</v>
      </c>
      <c r="AT205" t="s">
        <v>2440</v>
      </c>
      <c r="AU205" s="642">
        <v>3554946</v>
      </c>
    </row>
    <row r="206" spans="1:47" ht="13.3" thickTop="1" x14ac:dyDescent="0.35">
      <c r="A206" s="81" t="b">
        <f>ISNUMBER(A203)</f>
        <v>0</v>
      </c>
      <c r="E206" s="385" t="s">
        <v>735</v>
      </c>
      <c r="J206" s="386" t="b">
        <f>ISNUMBER(A196)</f>
        <v>0</v>
      </c>
      <c r="S206" s="385" t="s">
        <v>1720</v>
      </c>
      <c r="T206" s="81">
        <f>IF(AA258=2,35,0)</f>
        <v>0</v>
      </c>
      <c r="X206" s="387" t="s">
        <v>1711</v>
      </c>
      <c r="Y206" s="81" t="s">
        <v>1708</v>
      </c>
      <c r="Z206" s="526" t="s">
        <v>591</v>
      </c>
      <c r="AA206" s="81" t="b">
        <v>0</v>
      </c>
      <c r="AB206" s="81">
        <f t="shared" ref="AB206:AB211" si="71">IF(AA206,1,0)</f>
        <v>0</v>
      </c>
      <c r="AC206" s="81">
        <f>IF(SUM(AB207:AB209)+ AB211&gt;0,1,0)</f>
        <v>0</v>
      </c>
      <c r="AE206" s="462"/>
      <c r="AF206" s="462"/>
      <c r="AG206" s="462"/>
      <c r="AH206" s="466"/>
      <c r="AQ206" s="641">
        <v>1910</v>
      </c>
      <c r="AR206" t="s">
        <v>2444</v>
      </c>
      <c r="AS206" t="s">
        <v>2059</v>
      </c>
      <c r="AT206" t="s">
        <v>2336</v>
      </c>
      <c r="AU206" s="642">
        <v>390069</v>
      </c>
    </row>
    <row r="207" spans="1:47" ht="12.9" x14ac:dyDescent="0.35">
      <c r="S207" s="385" t="s">
        <v>1721</v>
      </c>
      <c r="T207" s="81">
        <f>IF(AA259=2,15,0)</f>
        <v>0</v>
      </c>
      <c r="Z207" s="526" t="s">
        <v>1066</v>
      </c>
      <c r="AA207" s="81" t="b">
        <v>0</v>
      </c>
      <c r="AB207" s="81">
        <f t="shared" si="71"/>
        <v>0</v>
      </c>
      <c r="AC207" s="81">
        <f>IF(SUM(AB207:AB211)&gt;0,1,0)</f>
        <v>0</v>
      </c>
      <c r="AE207" s="462"/>
      <c r="AF207" s="462"/>
      <c r="AG207" s="462"/>
      <c r="AH207" s="466"/>
      <c r="AQ207" s="641">
        <v>1911</v>
      </c>
      <c r="AR207" t="s">
        <v>2445</v>
      </c>
      <c r="AS207" t="s">
        <v>2446</v>
      </c>
      <c r="AT207" t="s">
        <v>2440</v>
      </c>
      <c r="AU207" s="642">
        <v>773892</v>
      </c>
    </row>
    <row r="208" spans="1:47" ht="12.9" x14ac:dyDescent="0.35">
      <c r="S208" s="81" t="s">
        <v>1717</v>
      </c>
      <c r="T208" s="391">
        <f>100-SUM(T210:T217)</f>
        <v>100</v>
      </c>
      <c r="U208" s="461" t="str">
        <f>IF(Camping!V73="no","NO GRADE",IF(SUM(AC262:AC269)&lt;8,"",IF(T208&gt;=98,"DIAMOND MEDAL",IF(T208&gt;=83,"PLATINUM MEDAL",IF(T208&gt;=68,"GOLD MEDAL",IF(T208&gt;=48,"YELLOW FLAG","RED FLAG"))))))</f>
        <v/>
      </c>
      <c r="Z208" s="526" t="s">
        <v>1067</v>
      </c>
      <c r="AA208" s="81" t="b">
        <v>0</v>
      </c>
      <c r="AB208" s="81">
        <f t="shared" si="71"/>
        <v>0</v>
      </c>
      <c r="AC208" s="81">
        <f>IF(Camping!M265="select",0,1)</f>
        <v>0</v>
      </c>
      <c r="AD208" s="81" t="s">
        <v>1716</v>
      </c>
      <c r="AE208" s="462"/>
      <c r="AF208" s="462"/>
      <c r="AG208" s="462"/>
      <c r="AH208" s="466"/>
      <c r="AQ208" s="641">
        <v>1917</v>
      </c>
      <c r="AR208" t="s">
        <v>2447</v>
      </c>
      <c r="AS208" t="s">
        <v>2448</v>
      </c>
      <c r="AT208" t="s">
        <v>2440</v>
      </c>
      <c r="AU208" s="642">
        <v>982858</v>
      </c>
    </row>
    <row r="209" spans="3:47" ht="12.9" x14ac:dyDescent="0.35">
      <c r="S209" s="385" t="s">
        <v>1698</v>
      </c>
      <c r="T209" s="81" t="s">
        <v>1708</v>
      </c>
      <c r="Z209" s="526" t="s">
        <v>1068</v>
      </c>
      <c r="AA209" s="81" t="b">
        <v>0</v>
      </c>
      <c r="AB209" s="81">
        <f t="shared" si="71"/>
        <v>0</v>
      </c>
      <c r="AC209" s="81">
        <f>IF(Camping!M269&lt;&gt;"select",1,0)</f>
        <v>0</v>
      </c>
      <c r="AD209" s="81" t="s">
        <v>1714</v>
      </c>
      <c r="AE209" s="462"/>
      <c r="AF209" s="462"/>
      <c r="AG209" s="462"/>
      <c r="AH209" s="466"/>
      <c r="AO209" s="387"/>
      <c r="AQ209" s="641">
        <v>1918</v>
      </c>
      <c r="AR209" t="s">
        <v>2449</v>
      </c>
      <c r="AS209" t="s">
        <v>2450</v>
      </c>
      <c r="AT209" t="s">
        <v>2440</v>
      </c>
      <c r="AU209" s="642" t="s">
        <v>2059</v>
      </c>
    </row>
    <row r="210" spans="3:47" ht="12.9" x14ac:dyDescent="0.35">
      <c r="S210" s="385" t="s">
        <v>1722</v>
      </c>
      <c r="T210" s="81">
        <f>IF(AA262=2,19,0)</f>
        <v>0</v>
      </c>
      <c r="Z210" s="526" t="s">
        <v>1069</v>
      </c>
      <c r="AB210" s="81">
        <f t="shared" si="71"/>
        <v>0</v>
      </c>
      <c r="AC210" s="81">
        <f>IF(Camping!AN267&lt;&gt;"select",1,0)</f>
        <v>0</v>
      </c>
      <c r="AD210" s="81" t="s">
        <v>1494</v>
      </c>
      <c r="AE210" s="462"/>
      <c r="AF210" s="462"/>
      <c r="AG210" s="462"/>
      <c r="AH210" s="466"/>
      <c r="AN210" s="385"/>
      <c r="AO210" s="387"/>
      <c r="AQ210" s="641">
        <v>1919</v>
      </c>
      <c r="AR210" t="s">
        <v>2451</v>
      </c>
      <c r="AS210" t="s">
        <v>2227</v>
      </c>
      <c r="AT210" t="s">
        <v>2440</v>
      </c>
      <c r="AU210" s="642">
        <v>745178</v>
      </c>
    </row>
    <row r="211" spans="3:47" ht="12.9" x14ac:dyDescent="0.35">
      <c r="S211" s="385" t="s">
        <v>1723</v>
      </c>
      <c r="T211" s="81">
        <f>IF(AA263=2,18,0)</f>
        <v>0</v>
      </c>
      <c r="Z211" s="526" t="s">
        <v>1070</v>
      </c>
      <c r="AB211" s="81">
        <f t="shared" si="71"/>
        <v>0</v>
      </c>
      <c r="AC211" s="81">
        <f>IF(Camping!M267="select",0,1)</f>
        <v>0</v>
      </c>
      <c r="AD211" s="81" t="s">
        <v>1713</v>
      </c>
      <c r="AE211" s="462"/>
      <c r="AF211" s="462"/>
      <c r="AG211" s="462"/>
      <c r="AH211" s="466"/>
      <c r="AN211" s="385"/>
      <c r="AO211" s="387"/>
      <c r="AQ211" s="641">
        <v>1920</v>
      </c>
      <c r="AR211" t="s">
        <v>2452</v>
      </c>
      <c r="AS211" t="s">
        <v>2453</v>
      </c>
      <c r="AT211" t="s">
        <v>2440</v>
      </c>
      <c r="AU211" s="642">
        <v>750378</v>
      </c>
    </row>
    <row r="212" spans="3:47" ht="12.9" x14ac:dyDescent="0.35">
      <c r="D212" s="81">
        <v>2</v>
      </c>
      <c r="S212" s="385" t="s">
        <v>1724</v>
      </c>
      <c r="T212" s="81">
        <f>IF(AA264=2,9,0)</f>
        <v>0</v>
      </c>
      <c r="Z212" s="557" t="s">
        <v>1084</v>
      </c>
      <c r="AA212" s="81" t="str">
        <f>Camping!X263</f>
        <v>select</v>
      </c>
      <c r="AC212" s="81">
        <f>IF(AA212="no",1,IF(AA212="yes",1,0))</f>
        <v>0</v>
      </c>
      <c r="AE212" s="462"/>
      <c r="AF212" s="462"/>
      <c r="AG212" s="462"/>
      <c r="AH212" s="466"/>
      <c r="AN212" s="385"/>
      <c r="AO212" s="387"/>
      <c r="AQ212" s="641">
        <v>1923</v>
      </c>
      <c r="AR212" t="s">
        <v>2454</v>
      </c>
      <c r="AS212" t="s">
        <v>2455</v>
      </c>
      <c r="AT212" t="s">
        <v>2440</v>
      </c>
      <c r="AU212" s="642">
        <v>994839</v>
      </c>
    </row>
    <row r="213" spans="3:47" ht="12.9" x14ac:dyDescent="0.35">
      <c r="D213" s="81">
        <v>2</v>
      </c>
      <c r="S213" s="385" t="s">
        <v>1725</v>
      </c>
      <c r="T213" s="81">
        <f>IF(AA265=2,9,0)</f>
        <v>0</v>
      </c>
      <c r="AE213" s="462"/>
      <c r="AF213" s="462"/>
      <c r="AG213" s="462"/>
      <c r="AH213" s="466"/>
      <c r="AN213" s="385"/>
      <c r="AO213" s="387"/>
      <c r="AP213" s="387"/>
      <c r="AQ213" s="641">
        <v>1924</v>
      </c>
      <c r="AR213" t="s">
        <v>2456</v>
      </c>
      <c r="AS213" t="s">
        <v>2457</v>
      </c>
      <c r="AT213" t="s">
        <v>2440</v>
      </c>
      <c r="AU213" s="642">
        <v>113767</v>
      </c>
    </row>
    <row r="214" spans="3:47" ht="12.9" x14ac:dyDescent="0.35">
      <c r="D214" s="81">
        <v>1</v>
      </c>
      <c r="S214" s="385" t="s">
        <v>1726</v>
      </c>
      <c r="T214" s="81">
        <f>IF(AA266=2,9,0)</f>
        <v>0</v>
      </c>
      <c r="Z214" s="532" t="s">
        <v>1071</v>
      </c>
      <c r="AA214" s="81">
        <f>IF(Camping!AP285="select",0,1)</f>
        <v>0</v>
      </c>
      <c r="AB214" s="81">
        <f>AA214+AC214</f>
        <v>0</v>
      </c>
      <c r="AC214" s="81">
        <f>IF(SUM(AB216:AB219)&gt;0,1,0)</f>
        <v>0</v>
      </c>
      <c r="AD214" s="81">
        <f>AB215+AC214</f>
        <v>0</v>
      </c>
      <c r="AE214" s="462"/>
      <c r="AF214" s="462" t="s">
        <v>1873</v>
      </c>
      <c r="AG214" s="462">
        <f>IF(AC214=0,1,IF(LEFT(Camping!M279,8)="Describe",0,IF(Camping!M279="",0,1)))</f>
        <v>1</v>
      </c>
      <c r="AH214" s="466">
        <f>IF(SUM(AG214:AG216)=3,1,0)</f>
        <v>1</v>
      </c>
      <c r="AI214" s="81" t="s">
        <v>1071</v>
      </c>
      <c r="AQ214" s="641">
        <v>1927</v>
      </c>
      <c r="AR214" t="s">
        <v>2458</v>
      </c>
      <c r="AS214" t="s">
        <v>2459</v>
      </c>
      <c r="AT214" t="s">
        <v>2440</v>
      </c>
      <c r="AU214" s="642">
        <v>2080429</v>
      </c>
    </row>
    <row r="215" spans="3:47" ht="12.9" x14ac:dyDescent="0.35">
      <c r="S215" s="385" t="s">
        <v>1727</v>
      </c>
      <c r="T215" s="81">
        <f>IF(AA267=2,18,0)</f>
        <v>0</v>
      </c>
      <c r="X215" s="387" t="s">
        <v>1711</v>
      </c>
      <c r="Y215" s="81" t="str">
        <f>IF(Camping!V275="select - 5 is highest","", VALUE(LEFT(Camping!V275,1)))</f>
        <v/>
      </c>
      <c r="Z215" s="526" t="s">
        <v>591</v>
      </c>
      <c r="AA215" s="81" t="b">
        <v>0</v>
      </c>
      <c r="AB215" s="81">
        <f>IF(AA215,1,0)</f>
        <v>0</v>
      </c>
      <c r="AE215" s="462"/>
      <c r="AF215" s="462" t="s">
        <v>1874</v>
      </c>
      <c r="AG215" s="462">
        <f>IF(AC214=0,1,IF(LEFT(Camping!M281,7)="Provide",0,IF(Camping!M281="",0,1)))</f>
        <v>1</v>
      </c>
      <c r="AH215" s="466"/>
      <c r="AN215" s="385"/>
      <c r="AO215" s="387"/>
      <c r="AQ215" s="641">
        <v>1939</v>
      </c>
      <c r="AR215" t="s">
        <v>2460</v>
      </c>
      <c r="AS215" t="s">
        <v>2461</v>
      </c>
      <c r="AT215" t="s">
        <v>2440</v>
      </c>
      <c r="AU215" s="642">
        <v>7014287</v>
      </c>
    </row>
    <row r="216" spans="3:47" ht="12.9" x14ac:dyDescent="0.35">
      <c r="S216" s="385" t="s">
        <v>1728</v>
      </c>
      <c r="T216" s="81">
        <f>IF(AA268=2,9,0)</f>
        <v>0</v>
      </c>
      <c r="Z216" s="526" t="s">
        <v>1063</v>
      </c>
      <c r="AA216" s="81" t="b">
        <v>0</v>
      </c>
      <c r="AB216" s="81">
        <f>IF(AA216,1,0)</f>
        <v>0</v>
      </c>
      <c r="AE216" s="462"/>
      <c r="AF216" s="462" t="s">
        <v>1875</v>
      </c>
      <c r="AG216" s="462">
        <f>IF(AC214=0,1,IF(LEFT(Camping!M283,8)="Describe",0,IF(Camping!M283="",0,1)))</f>
        <v>1</v>
      </c>
      <c r="AH216" s="466"/>
      <c r="AN216" s="385"/>
      <c r="AO216" s="387"/>
      <c r="AQ216" s="641">
        <v>1943</v>
      </c>
      <c r="AR216" t="s">
        <v>2462</v>
      </c>
      <c r="AS216" t="s">
        <v>2463</v>
      </c>
      <c r="AT216" t="s">
        <v>2440</v>
      </c>
      <c r="AU216" s="642">
        <v>11993889</v>
      </c>
    </row>
    <row r="217" spans="3:47" ht="12.9" x14ac:dyDescent="0.35">
      <c r="C217" s="81" t="str">
        <f>IF(D212=1,"test 1 positive",IF(D213=1,"test 2 positive","test 2 negative"))</f>
        <v>test 2 negative</v>
      </c>
      <c r="S217" s="385" t="s">
        <v>1729</v>
      </c>
      <c r="T217" s="81">
        <f>IF(AA269=2,9,0)</f>
        <v>0</v>
      </c>
      <c r="Z217" s="526" t="s">
        <v>1064</v>
      </c>
      <c r="AA217" s="81" t="b">
        <v>0</v>
      </c>
      <c r="AB217" s="81">
        <f>IF(AA217,1,0)</f>
        <v>0</v>
      </c>
      <c r="AE217" s="462"/>
      <c r="AF217" s="462"/>
      <c r="AG217" s="462"/>
      <c r="AH217" s="466"/>
      <c r="AN217" s="385"/>
      <c r="AO217" s="387"/>
      <c r="AQ217" s="641">
        <v>1954</v>
      </c>
      <c r="AR217" t="s">
        <v>2464</v>
      </c>
      <c r="AS217" t="s">
        <v>2465</v>
      </c>
      <c r="AT217" t="s">
        <v>2440</v>
      </c>
      <c r="AU217" s="642">
        <v>595895</v>
      </c>
    </row>
    <row r="218" spans="3:47" ht="12.9" x14ac:dyDescent="0.35">
      <c r="S218" s="385" t="s">
        <v>883</v>
      </c>
      <c r="T218" s="391">
        <f>125-SUM(T220:T228)</f>
        <v>120.995</v>
      </c>
      <c r="U218" s="461" t="str">
        <f>IF(SUM(AC272:AC281)&lt;9,"",IF(T218&gt;=98,"DIAMOND MEDAL",IF(T218&gt;=83,"PLATINUM MEDAL",IF(T218&gt;=68,"GOLD MEDAL",IF(T218&gt;=48,"YELLOW FLAG","RED FLAG")))))</f>
        <v/>
      </c>
      <c r="Z218" s="526" t="s">
        <v>1065</v>
      </c>
      <c r="AB218" s="81">
        <f>IF(AA218,1,0)</f>
        <v>0</v>
      </c>
      <c r="AE218" s="462"/>
      <c r="AF218" s="462"/>
      <c r="AG218" s="462"/>
      <c r="AH218" s="466"/>
      <c r="AN218" s="385"/>
      <c r="AO218" s="387"/>
      <c r="AQ218" s="641">
        <v>1971</v>
      </c>
      <c r="AR218" t="s">
        <v>2466</v>
      </c>
      <c r="AS218" t="s">
        <v>2467</v>
      </c>
      <c r="AT218" t="s">
        <v>2440</v>
      </c>
      <c r="AU218" s="642">
        <v>1857370</v>
      </c>
    </row>
    <row r="219" spans="3:47" ht="12.9" x14ac:dyDescent="0.35">
      <c r="S219" s="385" t="s">
        <v>1698</v>
      </c>
      <c r="T219" s="81" t="s">
        <v>1708</v>
      </c>
      <c r="Z219" s="526" t="s">
        <v>119</v>
      </c>
      <c r="AB219" s="81">
        <f>IF(AA219,1,0)</f>
        <v>0</v>
      </c>
      <c r="AC219" s="81">
        <f>IF(Camping!V275&lt;&gt;"select - 5 is highest",1,0)</f>
        <v>0</v>
      </c>
      <c r="AD219" s="81" t="s">
        <v>1715</v>
      </c>
      <c r="AE219" s="462"/>
      <c r="AF219" s="462"/>
      <c r="AG219" s="462"/>
      <c r="AH219" s="466"/>
      <c r="AN219" s="385"/>
      <c r="AO219" s="387"/>
      <c r="AQ219" s="641">
        <v>1975</v>
      </c>
      <c r="AR219" t="s">
        <v>2468</v>
      </c>
      <c r="AS219" t="s">
        <v>2469</v>
      </c>
      <c r="AT219" t="s">
        <v>2440</v>
      </c>
      <c r="AU219" s="642">
        <v>1000164</v>
      </c>
    </row>
    <row r="220" spans="3:47" ht="12.9" x14ac:dyDescent="0.35">
      <c r="S220" s="385" t="s">
        <v>1738</v>
      </c>
      <c r="T220" s="81">
        <f>AA272*7</f>
        <v>0</v>
      </c>
      <c r="Z220" s="526" t="s">
        <v>1085</v>
      </c>
      <c r="AA220" s="81" t="str">
        <f>IF(Camping!AP285="yes",TRUE,IF(Camping!AP285="no",FALSE,""))</f>
        <v/>
      </c>
      <c r="AC220" s="81">
        <f>IF(AA220&gt;"",1,0)</f>
        <v>0</v>
      </c>
      <c r="AE220" s="462"/>
      <c r="AF220" s="462"/>
      <c r="AG220" s="462"/>
      <c r="AH220" s="466"/>
      <c r="AN220" s="385"/>
      <c r="AO220" s="387"/>
      <c r="AQ220" s="641">
        <v>1979</v>
      </c>
      <c r="AR220" t="s">
        <v>2470</v>
      </c>
      <c r="AS220" t="s">
        <v>2471</v>
      </c>
      <c r="AT220" t="s">
        <v>2440</v>
      </c>
      <c r="AU220" s="642">
        <v>1293502</v>
      </c>
    </row>
    <row r="221" spans="3:47" ht="12.9" x14ac:dyDescent="0.35">
      <c r="S221" s="385" t="s">
        <v>1739</v>
      </c>
      <c r="T221" s="81">
        <f>AA273*7</f>
        <v>0</v>
      </c>
      <c r="Z221" s="526" t="s">
        <v>1086</v>
      </c>
      <c r="AA221" s="81" t="str">
        <f>IF(Camping!AP285="yes",TRUE,IF(Camping!AP285="no",FALSE,""))</f>
        <v/>
      </c>
      <c r="AE221" s="462"/>
      <c r="AF221" s="462"/>
      <c r="AG221" s="462"/>
      <c r="AH221" s="466"/>
      <c r="AN221" s="385"/>
      <c r="AO221" s="387"/>
      <c r="AQ221" s="641">
        <v>1981</v>
      </c>
      <c r="AR221" t="s">
        <v>2472</v>
      </c>
      <c r="AS221" t="s">
        <v>2473</v>
      </c>
      <c r="AT221" t="s">
        <v>2440</v>
      </c>
      <c r="AU221" s="642">
        <v>487404</v>
      </c>
    </row>
    <row r="222" spans="3:47" ht="12.9" x14ac:dyDescent="0.35">
      <c r="S222" s="385" t="s">
        <v>1740</v>
      </c>
      <c r="T222" s="81">
        <f>AA274*6</f>
        <v>0</v>
      </c>
      <c r="AE222" s="462"/>
      <c r="AF222" s="462"/>
      <c r="AG222" s="462"/>
      <c r="AH222" s="466"/>
      <c r="AN222" s="385"/>
      <c r="AO222" s="387"/>
      <c r="AQ222" s="641">
        <v>1983</v>
      </c>
      <c r="AR222" t="s">
        <v>2474</v>
      </c>
      <c r="AS222" t="s">
        <v>2475</v>
      </c>
      <c r="AT222" t="s">
        <v>2440</v>
      </c>
      <c r="AU222" s="642">
        <v>877493</v>
      </c>
    </row>
    <row r="223" spans="3:47" ht="12.9" x14ac:dyDescent="0.35">
      <c r="S223" s="385" t="s">
        <v>1741</v>
      </c>
      <c r="T223" s="81">
        <f>AA275*5</f>
        <v>0</v>
      </c>
      <c r="Z223" s="532" t="s">
        <v>1877</v>
      </c>
      <c r="AC223" s="81">
        <f>IF(SUM(AB225:AB230)&gt;0,1,0)</f>
        <v>0</v>
      </c>
      <c r="AD223" s="81">
        <f>AB224+AC223</f>
        <v>0</v>
      </c>
      <c r="AE223" s="462"/>
      <c r="AF223" s="462" t="s">
        <v>1876</v>
      </c>
      <c r="AG223" s="462">
        <f>IF(AC223=0,1,IF(LEFT(Camping!M298,8)="Note loc",0,IF(Camping!M298="",0,1)))</f>
        <v>1</v>
      </c>
      <c r="AH223" s="466"/>
      <c r="AI223" s="81" t="s">
        <v>1877</v>
      </c>
      <c r="AN223" s="385"/>
      <c r="AO223" s="387"/>
      <c r="AP223" s="387"/>
      <c r="AQ223" s="641">
        <v>1987</v>
      </c>
      <c r="AR223" t="s">
        <v>2476</v>
      </c>
      <c r="AS223" t="s">
        <v>2477</v>
      </c>
      <c r="AT223" t="s">
        <v>2440</v>
      </c>
      <c r="AU223" s="642">
        <v>34378141</v>
      </c>
    </row>
    <row r="224" spans="3:47" ht="12.9" x14ac:dyDescent="0.35">
      <c r="S224" s="385" t="s">
        <v>1742</v>
      </c>
      <c r="T224" s="81">
        <f>AA276*4</f>
        <v>0</v>
      </c>
      <c r="X224" s="387" t="s">
        <v>1711</v>
      </c>
      <c r="Y224" s="81" t="s">
        <v>1708</v>
      </c>
      <c r="Z224" s="526" t="s">
        <v>591</v>
      </c>
      <c r="AA224" s="81" t="b">
        <v>0</v>
      </c>
      <c r="AB224" s="81">
        <f t="shared" ref="AB224:AB230" si="72">IF(AA224,1,0)</f>
        <v>0</v>
      </c>
      <c r="AE224" s="462"/>
      <c r="AF224" s="462"/>
      <c r="AG224" s="462"/>
      <c r="AH224" s="466"/>
      <c r="AQ224" s="641">
        <v>1998</v>
      </c>
      <c r="AR224" t="s">
        <v>2478</v>
      </c>
      <c r="AS224" t="s">
        <v>2479</v>
      </c>
      <c r="AT224" t="s">
        <v>2440</v>
      </c>
      <c r="AU224" s="642">
        <v>1222087</v>
      </c>
    </row>
    <row r="225" spans="19:47" ht="12.9" x14ac:dyDescent="0.35">
      <c r="S225" s="385" t="s">
        <v>1743</v>
      </c>
      <c r="T225" s="81">
        <f>IF(AB277,AA277*2,0)</f>
        <v>0</v>
      </c>
      <c r="Z225" s="526" t="s">
        <v>1072</v>
      </c>
      <c r="AA225" s="81" t="b">
        <v>0</v>
      </c>
      <c r="AB225" s="81">
        <f t="shared" si="72"/>
        <v>0</v>
      </c>
      <c r="AE225" s="462"/>
      <c r="AF225" s="462"/>
      <c r="AG225" s="462"/>
      <c r="AH225" s="466"/>
      <c r="AN225" s="385"/>
      <c r="AO225" s="387"/>
      <c r="AQ225" s="641">
        <v>2000</v>
      </c>
      <c r="AR225" t="s">
        <v>2480</v>
      </c>
      <c r="AS225" t="s">
        <v>2481</v>
      </c>
      <c r="AT225" t="s">
        <v>2440</v>
      </c>
      <c r="AU225" s="642">
        <v>365372</v>
      </c>
    </row>
    <row r="226" spans="19:47" ht="12.9" x14ac:dyDescent="0.35">
      <c r="S226" s="385" t="s">
        <v>1744</v>
      </c>
      <c r="T226" s="81">
        <f>AA278*2</f>
        <v>2</v>
      </c>
      <c r="Z226" s="526" t="s">
        <v>1073</v>
      </c>
      <c r="AA226" s="81" t="b">
        <v>0</v>
      </c>
      <c r="AB226" s="81">
        <f t="shared" si="72"/>
        <v>0</v>
      </c>
      <c r="AE226" s="462"/>
      <c r="AF226" s="462"/>
      <c r="AG226" s="462"/>
      <c r="AH226" s="466"/>
      <c r="AN226" s="385"/>
      <c r="AO226" s="387"/>
      <c r="AQ226" s="641">
        <v>2008</v>
      </c>
      <c r="AR226" t="s">
        <v>2482</v>
      </c>
      <c r="AS226" t="s">
        <v>2483</v>
      </c>
      <c r="AT226" t="s">
        <v>2440</v>
      </c>
      <c r="AU226" s="642">
        <v>135994</v>
      </c>
    </row>
    <row r="227" spans="19:47" ht="12.9" x14ac:dyDescent="0.35">
      <c r="S227" s="385" t="s">
        <v>1745</v>
      </c>
      <c r="T227" s="81">
        <f>(AA279+AA280)*2</f>
        <v>2</v>
      </c>
      <c r="Z227" s="526" t="s">
        <v>1074</v>
      </c>
      <c r="AB227" s="81">
        <f t="shared" si="72"/>
        <v>0</v>
      </c>
      <c r="AE227" s="462"/>
      <c r="AF227" s="462"/>
      <c r="AG227" s="462"/>
      <c r="AH227" s="466"/>
      <c r="AN227" s="385"/>
      <c r="AO227" s="387"/>
      <c r="AQ227" s="641">
        <v>2018</v>
      </c>
      <c r="AR227" t="s">
        <v>2484</v>
      </c>
      <c r="AS227" t="s">
        <v>2485</v>
      </c>
      <c r="AT227" t="s">
        <v>2440</v>
      </c>
      <c r="AU227" s="642">
        <v>327653</v>
      </c>
    </row>
    <row r="228" spans="19:47" ht="12.9" x14ac:dyDescent="0.35">
      <c r="S228" s="385" t="s">
        <v>1746</v>
      </c>
      <c r="T228" s="81">
        <f>AA281*5</f>
        <v>5.0000000000000001E-3</v>
      </c>
      <c r="Z228" s="526" t="s">
        <v>1075</v>
      </c>
      <c r="AB228" s="81">
        <f t="shared" si="72"/>
        <v>0</v>
      </c>
      <c r="AE228" s="462"/>
      <c r="AF228" s="462"/>
      <c r="AG228" s="462"/>
      <c r="AH228" s="466"/>
      <c r="AN228" s="385"/>
      <c r="AO228" s="387"/>
      <c r="AQ228" s="641">
        <v>2020</v>
      </c>
      <c r="AR228" t="s">
        <v>2486</v>
      </c>
      <c r="AS228" t="s">
        <v>2487</v>
      </c>
      <c r="AT228" t="s">
        <v>2440</v>
      </c>
      <c r="AU228" s="642">
        <v>795584</v>
      </c>
    </row>
    <row r="229" spans="19:47" ht="12.9" x14ac:dyDescent="0.35">
      <c r="Z229" s="526" t="s">
        <v>1076</v>
      </c>
      <c r="AB229" s="81">
        <f t="shared" si="72"/>
        <v>0</v>
      </c>
      <c r="AE229" s="462"/>
      <c r="AF229" s="462"/>
      <c r="AG229" s="462"/>
      <c r="AH229" s="466"/>
      <c r="AN229" s="385"/>
      <c r="AO229" s="387"/>
      <c r="AQ229" s="641">
        <v>2025</v>
      </c>
      <c r="AR229" t="s">
        <v>2488</v>
      </c>
      <c r="AS229" t="s">
        <v>2489</v>
      </c>
      <c r="AT229" t="s">
        <v>2440</v>
      </c>
      <c r="AU229" s="642">
        <v>4479548</v>
      </c>
    </row>
    <row r="230" spans="19:47" ht="12.9" x14ac:dyDescent="0.35">
      <c r="Z230" s="526" t="s">
        <v>119</v>
      </c>
      <c r="AB230" s="81">
        <f t="shared" si="72"/>
        <v>0</v>
      </c>
      <c r="AE230" s="462"/>
      <c r="AF230" s="462"/>
      <c r="AG230" s="462"/>
      <c r="AH230" s="466"/>
      <c r="AN230" s="385"/>
      <c r="AO230" s="387"/>
      <c r="AQ230" s="641">
        <v>2027</v>
      </c>
      <c r="AR230" t="s">
        <v>2490</v>
      </c>
      <c r="AS230" t="s">
        <v>2491</v>
      </c>
      <c r="AT230" t="s">
        <v>2440</v>
      </c>
      <c r="AU230" s="642">
        <v>959260</v>
      </c>
    </row>
    <row r="231" spans="19:47" ht="12.9" x14ac:dyDescent="0.35">
      <c r="Z231" s="526" t="s">
        <v>1089</v>
      </c>
      <c r="AA231" s="81">
        <v>0</v>
      </c>
      <c r="AB231" s="81" t="b">
        <f>AND(AA231&lt;&gt;2,AA232&lt;&gt;2,AA233&lt;&gt;2,AA234&lt;&gt;2)</f>
        <v>1</v>
      </c>
      <c r="AC231" s="81">
        <f>IF(AA231&gt;0,1,0)</f>
        <v>0</v>
      </c>
      <c r="AE231" s="462"/>
      <c r="AF231" s="462"/>
      <c r="AG231" s="462"/>
      <c r="AH231" s="466"/>
      <c r="AN231" s="385"/>
      <c r="AO231" s="387"/>
      <c r="AQ231" s="641">
        <v>2029</v>
      </c>
      <c r="AR231" t="s">
        <v>2492</v>
      </c>
      <c r="AS231" t="s">
        <v>2493</v>
      </c>
      <c r="AT231" t="s">
        <v>2440</v>
      </c>
      <c r="AU231" s="642">
        <v>1263534</v>
      </c>
    </row>
    <row r="232" spans="19:47" ht="12.9" x14ac:dyDescent="0.35">
      <c r="Z232" s="526" t="s">
        <v>1090</v>
      </c>
      <c r="AA232" s="81">
        <v>0</v>
      </c>
      <c r="AC232" s="81">
        <f>IF(AA232&gt;0,1,0)</f>
        <v>0</v>
      </c>
      <c r="AE232" s="462"/>
      <c r="AF232" s="462"/>
      <c r="AG232" s="462"/>
      <c r="AH232" s="466"/>
      <c r="AN232" s="385"/>
      <c r="AO232" s="387"/>
      <c r="AQ232" s="641">
        <v>2031</v>
      </c>
      <c r="AR232" t="s">
        <v>2494</v>
      </c>
      <c r="AS232" t="s">
        <v>2495</v>
      </c>
      <c r="AT232" t="s">
        <v>2440</v>
      </c>
      <c r="AU232" s="642">
        <v>1739932</v>
      </c>
    </row>
    <row r="233" spans="19:47" ht="12.9" x14ac:dyDescent="0.35">
      <c r="Z233" s="526" t="s">
        <v>1091</v>
      </c>
      <c r="AA233" s="81">
        <v>0</v>
      </c>
      <c r="AB233" s="81" t="b">
        <f>AND(AA231&lt;&gt;2,AA232&lt;&gt;2,AA234&lt;&gt;2)</f>
        <v>1</v>
      </c>
      <c r="AC233" s="81">
        <f>IF(AA233&gt;0,1,0)</f>
        <v>0</v>
      </c>
      <c r="AE233" s="462"/>
      <c r="AF233" s="462"/>
      <c r="AG233" s="462"/>
      <c r="AH233" s="466"/>
      <c r="AQ233" s="641">
        <v>2035</v>
      </c>
      <c r="AR233" t="s">
        <v>2496</v>
      </c>
      <c r="AS233" t="s">
        <v>2497</v>
      </c>
      <c r="AT233" t="s">
        <v>2440</v>
      </c>
      <c r="AU233" s="642">
        <v>2051456</v>
      </c>
    </row>
    <row r="234" spans="19:47" ht="12.9" x14ac:dyDescent="0.35">
      <c r="Z234" s="526" t="s">
        <v>1454</v>
      </c>
      <c r="AA234" s="81">
        <v>0</v>
      </c>
      <c r="AC234" s="81">
        <f>IF(AA234&gt;0,1,0)</f>
        <v>0</v>
      </c>
      <c r="AE234" s="462"/>
      <c r="AF234" s="462"/>
      <c r="AG234" s="462"/>
      <c r="AH234" s="466"/>
      <c r="AP234" s="387"/>
      <c r="AQ234" s="641">
        <v>2039</v>
      </c>
      <c r="AR234" t="s">
        <v>2498</v>
      </c>
      <c r="AS234" t="s">
        <v>2499</v>
      </c>
      <c r="AT234" t="s">
        <v>2440</v>
      </c>
      <c r="AU234" s="642">
        <v>1896887</v>
      </c>
    </row>
    <row r="235" spans="19:47" ht="12.9" x14ac:dyDescent="0.35">
      <c r="Z235" s="532" t="s">
        <v>801</v>
      </c>
      <c r="AC235" s="81">
        <f>IF(AB237+AB238&gt;0,1,0)</f>
        <v>0</v>
      </c>
      <c r="AD235" s="81">
        <f>AB236+AC235</f>
        <v>0</v>
      </c>
      <c r="AE235" s="462"/>
      <c r="AF235" s="462" t="s">
        <v>1878</v>
      </c>
      <c r="AG235" s="462">
        <f>IF(AC235=0,1,IF(LEFT(Camping!M316,8)="Note loc",0,IF(Camping!M316="",0,1)))</f>
        <v>1</v>
      </c>
      <c r="AH235" s="466"/>
      <c r="AI235" s="81" t="s">
        <v>801</v>
      </c>
      <c r="AQ235" s="641">
        <v>2043</v>
      </c>
      <c r="AR235" t="s">
        <v>2500</v>
      </c>
      <c r="AS235" t="s">
        <v>2501</v>
      </c>
      <c r="AT235" t="s">
        <v>2440</v>
      </c>
      <c r="AU235" s="642">
        <v>2268222</v>
      </c>
    </row>
    <row r="236" spans="19:47" ht="12.9" x14ac:dyDescent="0.35">
      <c r="X236" s="387" t="s">
        <v>1711</v>
      </c>
      <c r="Y236" s="81" t="s">
        <v>1708</v>
      </c>
      <c r="Z236" s="526" t="s">
        <v>591</v>
      </c>
      <c r="AB236" s="81" t="b">
        <v>0</v>
      </c>
      <c r="AE236" s="462"/>
      <c r="AG236" s="462"/>
      <c r="AH236" s="466"/>
      <c r="AQ236" s="641">
        <v>2045</v>
      </c>
      <c r="AR236" t="s">
        <v>2502</v>
      </c>
      <c r="AS236" t="s">
        <v>2503</v>
      </c>
      <c r="AT236" t="s">
        <v>2440</v>
      </c>
      <c r="AU236" s="642">
        <v>1496348</v>
      </c>
    </row>
    <row r="237" spans="19:47" ht="12.9" x14ac:dyDescent="0.35">
      <c r="Z237" s="526" t="s">
        <v>1310</v>
      </c>
      <c r="AA237" s="81" t="b">
        <v>0</v>
      </c>
      <c r="AB237" s="81">
        <f>IF(AA237,1,0)</f>
        <v>0</v>
      </c>
      <c r="AE237" s="462"/>
      <c r="AF237" s="462"/>
      <c r="AG237" s="462"/>
      <c r="AH237" s="466"/>
      <c r="AQ237" s="641">
        <v>2047</v>
      </c>
      <c r="AR237" t="s">
        <v>2504</v>
      </c>
      <c r="AS237" t="s">
        <v>2505</v>
      </c>
      <c r="AT237" t="s">
        <v>2440</v>
      </c>
      <c r="AU237" s="642">
        <v>793794</v>
      </c>
    </row>
    <row r="238" spans="19:47" ht="12.9" x14ac:dyDescent="0.35">
      <c r="Z238" s="526" t="s">
        <v>119</v>
      </c>
      <c r="AB238" s="81">
        <f>IF(AA238,1,0)</f>
        <v>0</v>
      </c>
      <c r="AH238" s="466"/>
      <c r="AQ238" s="641">
        <v>2049</v>
      </c>
      <c r="AR238" t="s">
        <v>2506</v>
      </c>
      <c r="AS238" t="s">
        <v>2507</v>
      </c>
      <c r="AT238" t="s">
        <v>2440</v>
      </c>
      <c r="AU238" s="642">
        <v>149790</v>
      </c>
    </row>
    <row r="239" spans="19:47" ht="12.9" x14ac:dyDescent="0.35">
      <c r="Z239" s="526" t="s">
        <v>1089</v>
      </c>
      <c r="AA239" s="81">
        <v>0</v>
      </c>
      <c r="AC239" s="81">
        <f>IF(AA239&gt;0,1,0)</f>
        <v>0</v>
      </c>
      <c r="AE239" s="462"/>
      <c r="AF239" s="462"/>
      <c r="AG239" s="462"/>
      <c r="AH239" s="466"/>
      <c r="AQ239" s="641">
        <v>2051</v>
      </c>
      <c r="AR239" t="s">
        <v>2508</v>
      </c>
      <c r="AS239" t="s">
        <v>2509</v>
      </c>
      <c r="AT239" t="s">
        <v>2440</v>
      </c>
      <c r="AU239" s="642">
        <v>1375683</v>
      </c>
    </row>
    <row r="240" spans="19:47" ht="12.9" x14ac:dyDescent="0.35">
      <c r="Z240" s="526" t="s">
        <v>1090</v>
      </c>
      <c r="AA240" s="81">
        <v>0</v>
      </c>
      <c r="AC240" s="81">
        <f>IF(AA240&gt;0,1,0)</f>
        <v>0</v>
      </c>
      <c r="AE240" s="462"/>
      <c r="AF240" s="462"/>
      <c r="AG240" s="462"/>
      <c r="AH240" s="466"/>
      <c r="AQ240" s="641">
        <v>2063</v>
      </c>
      <c r="AR240" t="s">
        <v>2510</v>
      </c>
      <c r="AS240" t="s">
        <v>2511</v>
      </c>
      <c r="AT240" t="s">
        <v>2440</v>
      </c>
      <c r="AU240" s="642">
        <v>816793</v>
      </c>
    </row>
    <row r="241" spans="24:47" ht="12.9" x14ac:dyDescent="0.35">
      <c r="Z241" s="526" t="s">
        <v>1454</v>
      </c>
      <c r="AA241" s="81">
        <v>0</v>
      </c>
      <c r="AC241" s="81">
        <f>IF(AA241&gt;0,1,0)</f>
        <v>0</v>
      </c>
      <c r="AE241" s="462"/>
      <c r="AF241" s="462"/>
      <c r="AG241" s="462"/>
      <c r="AH241" s="466"/>
      <c r="AQ241" s="641">
        <v>2071</v>
      </c>
      <c r="AR241" t="s">
        <v>2512</v>
      </c>
      <c r="AS241" t="s">
        <v>2513</v>
      </c>
      <c r="AT241" t="s">
        <v>2440</v>
      </c>
      <c r="AU241" s="642">
        <v>5886126</v>
      </c>
    </row>
    <row r="242" spans="24:47" ht="12.9" x14ac:dyDescent="0.35">
      <c r="Z242" s="532" t="s">
        <v>1317</v>
      </c>
      <c r="AC242" s="81">
        <f>IF(AB244&gt;0,1,0)</f>
        <v>0</v>
      </c>
      <c r="AD242" s="81">
        <f>AB243+AC242</f>
        <v>0</v>
      </c>
      <c r="AE242" s="462"/>
      <c r="AF242" s="462" t="s">
        <v>1879</v>
      </c>
      <c r="AG242" s="462">
        <f>IF(AB244=0,1,IF(LEFT(Camping!M334,8)="Who prov",0,IF(Camping!M334="",0,1)))</f>
        <v>1</v>
      </c>
      <c r="AH242" s="466">
        <f>IF(SUM(AG242:AG243)=2,1,0)</f>
        <v>1</v>
      </c>
      <c r="AI242" s="81" t="s">
        <v>1317</v>
      </c>
      <c r="AQ242" s="641">
        <v>2079</v>
      </c>
      <c r="AR242" t="s">
        <v>2514</v>
      </c>
      <c r="AS242" t="s">
        <v>2515</v>
      </c>
      <c r="AT242" t="s">
        <v>2440</v>
      </c>
      <c r="AU242" s="642">
        <v>942474</v>
      </c>
    </row>
    <row r="243" spans="24:47" ht="12.9" x14ac:dyDescent="0.35">
      <c r="X243" s="387" t="s">
        <v>1711</v>
      </c>
      <c r="Y243" s="81" t="str">
        <f>IF(Camping!V328="select - 5 is highest","",VALUE(LEFT(Camping!V328,1)))</f>
        <v/>
      </c>
      <c r="Z243" s="526" t="s">
        <v>591</v>
      </c>
      <c r="AA243" s="81" t="b">
        <v>0</v>
      </c>
      <c r="AB243" s="81">
        <f>IF(AA243,1,0)</f>
        <v>0</v>
      </c>
      <c r="AE243" s="462"/>
      <c r="AF243" s="462" t="s">
        <v>1880</v>
      </c>
      <c r="AG243" s="462">
        <f>IF(AB244=0,1,IF(LEFT(Camping!M338,8)="Provide ",0,IF(Camping!M338="",0,1)))</f>
        <v>1</v>
      </c>
      <c r="AH243" s="466"/>
      <c r="AQ243" s="641">
        <v>2083</v>
      </c>
      <c r="AR243" t="s">
        <v>2516</v>
      </c>
      <c r="AS243" t="s">
        <v>2418</v>
      </c>
      <c r="AT243" t="s">
        <v>2440</v>
      </c>
      <c r="AU243" s="642">
        <v>1352916</v>
      </c>
    </row>
    <row r="244" spans="24:47" ht="12.9" x14ac:dyDescent="0.35">
      <c r="Z244" s="526" t="s">
        <v>1318</v>
      </c>
      <c r="AA244" s="538">
        <f>Camping!N330</f>
        <v>0</v>
      </c>
      <c r="AB244" s="538">
        <f>AA244+AA245</f>
        <v>0</v>
      </c>
      <c r="AE244" s="462"/>
      <c r="AF244" s="462"/>
      <c r="AG244" s="462"/>
      <c r="AH244" s="466"/>
      <c r="AQ244" s="641">
        <v>2087</v>
      </c>
      <c r="AR244" t="s">
        <v>2517</v>
      </c>
      <c r="AS244" t="s">
        <v>2518</v>
      </c>
      <c r="AT244" t="s">
        <v>2440</v>
      </c>
      <c r="AU244" s="642">
        <v>3021781</v>
      </c>
    </row>
    <row r="245" spans="24:47" ht="12.9" x14ac:dyDescent="0.35">
      <c r="Z245" s="526" t="s">
        <v>1319</v>
      </c>
      <c r="AA245" s="538">
        <f>Camping!U330</f>
        <v>0</v>
      </c>
      <c r="AE245" s="462"/>
      <c r="AF245" s="462"/>
      <c r="AG245" s="462"/>
      <c r="AH245" s="466"/>
      <c r="AQ245" s="641">
        <v>2089</v>
      </c>
      <c r="AR245" t="s">
        <v>2519</v>
      </c>
      <c r="AS245" t="s">
        <v>2520</v>
      </c>
      <c r="AT245" t="s">
        <v>2440</v>
      </c>
      <c r="AU245" s="642">
        <v>1696169</v>
      </c>
    </row>
    <row r="246" spans="24:47" ht="12.9" x14ac:dyDescent="0.35">
      <c r="Z246" s="526" t="s">
        <v>959</v>
      </c>
      <c r="AE246" s="462"/>
      <c r="AF246" s="462"/>
      <c r="AG246" s="462"/>
      <c r="AH246" s="466"/>
      <c r="AQ246" s="641">
        <v>2091</v>
      </c>
      <c r="AR246" t="s">
        <v>2521</v>
      </c>
      <c r="AS246" t="s">
        <v>2522</v>
      </c>
      <c r="AT246" t="s">
        <v>2440</v>
      </c>
      <c r="AU246" s="642">
        <v>1202636</v>
      </c>
    </row>
    <row r="247" spans="24:47" ht="12.9" x14ac:dyDescent="0.35">
      <c r="Z247" s="526" t="s">
        <v>994</v>
      </c>
      <c r="AC247" s="81">
        <f>IF(Camping!V328&lt;&gt;"select - 5 is highest",1,0)</f>
        <v>0</v>
      </c>
      <c r="AD247" s="81" t="s">
        <v>1715</v>
      </c>
      <c r="AE247" s="462"/>
      <c r="AF247" s="462"/>
      <c r="AG247" s="462"/>
      <c r="AH247" s="466"/>
      <c r="AQ247" s="641">
        <v>2095</v>
      </c>
      <c r="AR247" t="s">
        <v>2523</v>
      </c>
      <c r="AS247" t="s">
        <v>2524</v>
      </c>
      <c r="AT247" t="s">
        <v>2440</v>
      </c>
      <c r="AU247" s="642">
        <v>298040</v>
      </c>
    </row>
    <row r="248" spans="24:47" ht="12.9" x14ac:dyDescent="0.35">
      <c r="Z248" s="526" t="s">
        <v>1325</v>
      </c>
      <c r="AA248" s="81" t="str">
        <f>Camping!W332</f>
        <v>select</v>
      </c>
      <c r="AC248" s="81">
        <f>IF(Camping!W332&lt;&gt;"select",1,0)</f>
        <v>0</v>
      </c>
      <c r="AF248" s="462"/>
      <c r="AG248" s="462"/>
      <c r="AH248" s="466"/>
      <c r="AQ248" s="641">
        <v>2096</v>
      </c>
      <c r="AR248" t="s">
        <v>2525</v>
      </c>
      <c r="AS248" t="s">
        <v>2526</v>
      </c>
      <c r="AT248" t="s">
        <v>2440</v>
      </c>
      <c r="AU248" s="642">
        <v>559396</v>
      </c>
    </row>
    <row r="249" spans="24:47" ht="12.9" x14ac:dyDescent="0.35">
      <c r="Z249" s="526" t="s">
        <v>1326</v>
      </c>
      <c r="AA249" s="81" t="str">
        <f>Camping!AP332</f>
        <v>select</v>
      </c>
      <c r="AC249" s="81">
        <f>IF(Camping!AP332&lt;&gt;"select",1,0)</f>
        <v>0</v>
      </c>
      <c r="AE249" s="462"/>
      <c r="AF249" s="462" t="s">
        <v>1881</v>
      </c>
      <c r="AG249" s="462">
        <f>IF(Camping!G348=0,1,IF(RIGHT(Camping!M350,4)="etc.",0,IF(Camping!M350="",0,1)))</f>
        <v>1</v>
      </c>
      <c r="AH249" s="466">
        <f>IF(SUM(AG249:AG254)=6,0,1)</f>
        <v>0</v>
      </c>
      <c r="AI249" s="81" t="s">
        <v>1327</v>
      </c>
      <c r="AQ249" s="641">
        <v>2119</v>
      </c>
      <c r="AR249" t="s">
        <v>2527</v>
      </c>
      <c r="AS249" t="s">
        <v>2528</v>
      </c>
      <c r="AT249" t="s">
        <v>2440</v>
      </c>
      <c r="AU249" s="642">
        <v>2507223</v>
      </c>
    </row>
    <row r="250" spans="24:47" ht="12.9" x14ac:dyDescent="0.35">
      <c r="Z250" s="526" t="s">
        <v>1559</v>
      </c>
      <c r="AA250" s="81" t="str">
        <f>Camping!AP336</f>
        <v>select</v>
      </c>
      <c r="AC250" s="81">
        <f>IF(Camping!AP336&lt;&gt;"select",1,0)</f>
        <v>0</v>
      </c>
      <c r="AE250" s="462"/>
      <c r="AF250" s="462" t="s">
        <v>1882</v>
      </c>
      <c r="AG250" s="462">
        <f>IF(Camping!E$348=0,1,IF(LEFT(Camping!M352,7)="For the",0,IF(Camping!M352="",0,1)))</f>
        <v>1</v>
      </c>
      <c r="AH250" s="466"/>
      <c r="AQ250" s="641">
        <v>2121</v>
      </c>
      <c r="AR250" t="s">
        <v>2529</v>
      </c>
      <c r="AS250" t="s">
        <v>2530</v>
      </c>
      <c r="AT250" t="s">
        <v>2531</v>
      </c>
      <c r="AU250" s="642">
        <v>922559</v>
      </c>
    </row>
    <row r="251" spans="24:47" ht="12.9" x14ac:dyDescent="0.35">
      <c r="Z251" s="532" t="s">
        <v>1327</v>
      </c>
      <c r="AE251" s="462"/>
      <c r="AF251" s="462" t="s">
        <v>1883</v>
      </c>
      <c r="AG251" s="462">
        <f>IF(Camping!E$348=0,1,IF(LEFT(Camping!M354,7)="For the",0,IF(Camping!M354="",0,1)))</f>
        <v>1</v>
      </c>
      <c r="AH251" s="466"/>
      <c r="AQ251" s="641">
        <v>2124</v>
      </c>
      <c r="AR251" t="s">
        <v>2532</v>
      </c>
      <c r="AS251" t="s">
        <v>2533</v>
      </c>
      <c r="AT251" t="s">
        <v>2531</v>
      </c>
      <c r="AU251" s="642">
        <v>827114</v>
      </c>
    </row>
    <row r="252" spans="24:47" ht="12.9" x14ac:dyDescent="0.35">
      <c r="X252" s="387" t="s">
        <v>1711</v>
      </c>
      <c r="AE252" s="462"/>
      <c r="AF252" s="462" t="s">
        <v>1884</v>
      </c>
      <c r="AG252" s="462">
        <f>IF(Camping!E$348=0,1,IF(LEFT(Camping!M356,7)="Explain",0,IF(Camping!M356="",0,1)))</f>
        <v>1</v>
      </c>
      <c r="AH252" s="466"/>
      <c r="AQ252" s="641">
        <v>2128</v>
      </c>
      <c r="AR252" t="s">
        <v>2534</v>
      </c>
      <c r="AS252" t="s">
        <v>2535</v>
      </c>
      <c r="AT252" t="s">
        <v>2440</v>
      </c>
      <c r="AU252" s="642">
        <v>593791</v>
      </c>
    </row>
    <row r="253" spans="24:47" ht="12.9" x14ac:dyDescent="0.35">
      <c r="Z253" s="532" t="s">
        <v>1348</v>
      </c>
      <c r="AB253" s="81" t="b">
        <v>0</v>
      </c>
      <c r="AC253" s="81" t="s">
        <v>1361</v>
      </c>
      <c r="AE253" s="462"/>
      <c r="AF253" s="462" t="s">
        <v>1885</v>
      </c>
      <c r="AG253" s="462">
        <f>IF(Camping!E$348=0,1,IF(LEFT(Camping!M358,7)="For the",0,IF(Camping!M358="",0,1)))</f>
        <v>1</v>
      </c>
      <c r="AH253" s="466"/>
      <c r="AQ253" s="641">
        <v>2131</v>
      </c>
      <c r="AR253" t="s">
        <v>2536</v>
      </c>
      <c r="AS253" t="s">
        <v>2537</v>
      </c>
      <c r="AT253" t="s">
        <v>2531</v>
      </c>
      <c r="AU253" s="642">
        <v>854102</v>
      </c>
    </row>
    <row r="254" spans="24:47" ht="12.9" x14ac:dyDescent="0.35">
      <c r="AE254" s="462"/>
      <c r="AF254" s="462" t="s">
        <v>1886</v>
      </c>
      <c r="AG254" s="462">
        <f>IF(Camping!E$348=0,1,IF(LEFT(Camping!M360,7)="For the",0,IF(Camping!M360="",0,1)))</f>
        <v>1</v>
      </c>
      <c r="AH254" s="466"/>
      <c r="AQ254" s="641">
        <v>2134</v>
      </c>
      <c r="AR254" t="s">
        <v>2538</v>
      </c>
      <c r="AS254" t="s">
        <v>2539</v>
      </c>
      <c r="AT254" t="s">
        <v>2531</v>
      </c>
      <c r="AU254" s="642">
        <v>4339614</v>
      </c>
    </row>
    <row r="255" spans="24:47" ht="12.9" x14ac:dyDescent="0.35">
      <c r="Z255" s="532" t="s">
        <v>1349</v>
      </c>
      <c r="AE255" s="462"/>
      <c r="AQ255" s="641">
        <v>2149</v>
      </c>
      <c r="AR255" t="s">
        <v>2540</v>
      </c>
      <c r="AS255" t="s">
        <v>2541</v>
      </c>
      <c r="AT255" t="s">
        <v>2531</v>
      </c>
      <c r="AU255" s="642">
        <v>533342</v>
      </c>
    </row>
    <row r="256" spans="24:47" ht="12.9" x14ac:dyDescent="0.35">
      <c r="Z256" s="526" t="s">
        <v>1345</v>
      </c>
      <c r="AA256" s="81">
        <v>0</v>
      </c>
      <c r="AB256" s="81" t="b">
        <f>AND(AA256&lt;&gt;2,AA257&lt;&gt;2,AA258&lt;&gt;2,AA259&lt;&gt;2)</f>
        <v>1</v>
      </c>
      <c r="AC256" s="81">
        <f>IF(AB253,1,IF(AA256&gt;0,1,0))</f>
        <v>0</v>
      </c>
      <c r="AE256" s="462"/>
      <c r="AF256" s="462" t="s">
        <v>1888</v>
      </c>
      <c r="AG256" s="462">
        <f>IF(LEFT(Camping!M459,7)="Briefly",0,IF(Camping!M459="",0,1))</f>
        <v>1</v>
      </c>
      <c r="AH256" s="466">
        <f>IF(SUM(AG256:AG258)=3,0,1)</f>
        <v>1</v>
      </c>
      <c r="AI256" s="81" t="s">
        <v>1891</v>
      </c>
      <c r="AQ256" s="641">
        <v>2153</v>
      </c>
      <c r="AR256" t="s">
        <v>2542</v>
      </c>
      <c r="AS256" t="s">
        <v>2353</v>
      </c>
      <c r="AT256" t="s">
        <v>2531</v>
      </c>
      <c r="AU256" s="642">
        <v>771935</v>
      </c>
    </row>
    <row r="257" spans="26:47" ht="12.9" x14ac:dyDescent="0.35">
      <c r="Z257" s="526" t="s">
        <v>1346</v>
      </c>
      <c r="AA257" s="81">
        <v>0</v>
      </c>
      <c r="AC257" s="81">
        <f>IF(AB253,1,IF(AA257&gt;0,1,0))</f>
        <v>0</v>
      </c>
      <c r="AE257" s="462"/>
      <c r="AF257" s="462" t="s">
        <v>1889</v>
      </c>
      <c r="AG257" s="462">
        <f>IF(AB253,1,IF(LEFT(Camping!M461,7)="Briefly",0,IF(Camping!M461="",0,1)))</f>
        <v>0</v>
      </c>
      <c r="AH257" s="466"/>
      <c r="AQ257" s="641">
        <v>2160</v>
      </c>
      <c r="AR257" t="s">
        <v>2543</v>
      </c>
      <c r="AS257" t="s">
        <v>2544</v>
      </c>
      <c r="AT257" t="s">
        <v>2531</v>
      </c>
      <c r="AU257" s="642">
        <v>488488</v>
      </c>
    </row>
    <row r="258" spans="26:47" ht="12.9" x14ac:dyDescent="0.35">
      <c r="Z258" s="526" t="s">
        <v>1350</v>
      </c>
      <c r="AA258" s="81">
        <v>0</v>
      </c>
      <c r="AC258" s="81">
        <f>IF(AA258&gt;0,1,0)</f>
        <v>0</v>
      </c>
      <c r="AE258" s="462"/>
      <c r="AF258" s="462" t="s">
        <v>1890</v>
      </c>
      <c r="AG258" s="462">
        <f>IF(AB253,1,IF(LEFT(Camping!M463,7)="Briefly",0,IF(Camping!M463="",0,1)))</f>
        <v>0</v>
      </c>
      <c r="AH258" s="466"/>
      <c r="AQ258" s="641">
        <v>2161</v>
      </c>
      <c r="AR258" t="s">
        <v>2452</v>
      </c>
      <c r="AS258" t="s">
        <v>2545</v>
      </c>
      <c r="AT258" t="s">
        <v>2531</v>
      </c>
      <c r="AU258" s="642">
        <v>8796762</v>
      </c>
    </row>
    <row r="259" spans="26:47" ht="12.9" x14ac:dyDescent="0.35">
      <c r="Z259" s="526" t="s">
        <v>1351</v>
      </c>
      <c r="AA259" s="81">
        <v>0</v>
      </c>
      <c r="AC259" s="81">
        <f>IF(AA259&gt;0,1,0)</f>
        <v>0</v>
      </c>
      <c r="AE259" s="462"/>
      <c r="AF259" s="462"/>
      <c r="AG259" s="462"/>
      <c r="AH259" s="466"/>
      <c r="AQ259" s="641">
        <v>2165</v>
      </c>
      <c r="AR259" t="s">
        <v>2546</v>
      </c>
      <c r="AS259" t="s">
        <v>2547</v>
      </c>
      <c r="AT259" t="s">
        <v>2531</v>
      </c>
      <c r="AU259" s="642">
        <v>14941360</v>
      </c>
    </row>
    <row r="260" spans="26:47" ht="12.9" x14ac:dyDescent="0.35">
      <c r="AE260" s="462"/>
      <c r="AF260" s="462"/>
      <c r="AG260" s="462"/>
      <c r="AH260" s="466"/>
      <c r="AQ260" s="641">
        <v>2175</v>
      </c>
      <c r="AR260" t="s">
        <v>2548</v>
      </c>
      <c r="AS260" t="s">
        <v>2549</v>
      </c>
      <c r="AT260" t="s">
        <v>2531</v>
      </c>
      <c r="AU260" s="642">
        <v>821782</v>
      </c>
    </row>
    <row r="261" spans="26:47" ht="12.9" x14ac:dyDescent="0.35">
      <c r="Z261" s="532" t="s">
        <v>1352</v>
      </c>
      <c r="AE261" s="462"/>
      <c r="AF261" s="462" t="s">
        <v>1887</v>
      </c>
      <c r="AG261" s="462"/>
      <c r="AH261" s="466"/>
      <c r="AI261" s="81" t="s">
        <v>1352</v>
      </c>
      <c r="AQ261" s="641">
        <v>2176</v>
      </c>
      <c r="AR261" t="s">
        <v>2550</v>
      </c>
      <c r="AS261" t="s">
        <v>2551</v>
      </c>
      <c r="AT261" t="s">
        <v>2531</v>
      </c>
      <c r="AU261" s="642">
        <v>139762</v>
      </c>
    </row>
    <row r="262" spans="26:47" ht="12.9" x14ac:dyDescent="0.35">
      <c r="Z262" s="526" t="s">
        <v>1353</v>
      </c>
      <c r="AA262" s="81">
        <v>0</v>
      </c>
      <c r="AC262" s="81">
        <f t="shared" ref="AC262:AC269" si="73">IF(AA262&gt;0,1,0)</f>
        <v>0</v>
      </c>
      <c r="AE262" s="462"/>
      <c r="AF262" s="462"/>
      <c r="AG262" s="462"/>
      <c r="AH262" s="466"/>
      <c r="AQ262" s="641">
        <v>2177</v>
      </c>
      <c r="AR262" t="s">
        <v>2552</v>
      </c>
      <c r="AS262" t="s">
        <v>2553</v>
      </c>
      <c r="AT262" t="s">
        <v>2531</v>
      </c>
      <c r="AU262" s="642">
        <v>1341645</v>
      </c>
    </row>
    <row r="263" spans="26:47" ht="12.9" x14ac:dyDescent="0.35">
      <c r="Z263" s="526" t="s">
        <v>1354</v>
      </c>
      <c r="AA263" s="81">
        <v>0</v>
      </c>
      <c r="AC263" s="81">
        <f t="shared" si="73"/>
        <v>0</v>
      </c>
      <c r="AE263" s="462"/>
      <c r="AF263" s="462"/>
      <c r="AG263" s="462"/>
      <c r="AH263" s="466"/>
      <c r="AQ263" s="641">
        <v>2181</v>
      </c>
      <c r="AR263" t="s">
        <v>2554</v>
      </c>
      <c r="AS263" t="s">
        <v>2555</v>
      </c>
      <c r="AT263" t="s">
        <v>2531</v>
      </c>
      <c r="AU263" s="642">
        <v>774020</v>
      </c>
    </row>
    <row r="264" spans="26:47" ht="12.9" x14ac:dyDescent="0.35">
      <c r="Z264" s="526" t="s">
        <v>1355</v>
      </c>
      <c r="AA264" s="81">
        <v>0</v>
      </c>
      <c r="AC264" s="81">
        <f t="shared" si="73"/>
        <v>0</v>
      </c>
      <c r="AE264" s="462"/>
      <c r="AF264" s="462"/>
      <c r="AG264" s="462"/>
      <c r="AH264" s="466"/>
      <c r="AQ264" s="641">
        <v>2185</v>
      </c>
      <c r="AR264" t="s">
        <v>2556</v>
      </c>
      <c r="AS264" t="s">
        <v>2557</v>
      </c>
      <c r="AT264" t="s">
        <v>2531</v>
      </c>
      <c r="AU264" s="642">
        <v>405719</v>
      </c>
    </row>
    <row r="265" spans="26:47" ht="12.9" x14ac:dyDescent="0.35">
      <c r="Z265" s="526" t="s">
        <v>1356</v>
      </c>
      <c r="AA265" s="81">
        <v>0</v>
      </c>
      <c r="AC265" s="81">
        <f t="shared" si="73"/>
        <v>0</v>
      </c>
      <c r="AE265" s="462"/>
      <c r="AF265" s="462"/>
      <c r="AG265" s="462"/>
      <c r="AH265" s="466"/>
      <c r="AQ265" s="641">
        <v>2193</v>
      </c>
      <c r="AR265" t="s">
        <v>2558</v>
      </c>
      <c r="AS265" t="s">
        <v>2559</v>
      </c>
      <c r="AT265" t="s">
        <v>2531</v>
      </c>
      <c r="AU265" s="642">
        <v>454637</v>
      </c>
    </row>
    <row r="266" spans="26:47" ht="12.9" x14ac:dyDescent="0.35">
      <c r="Z266" s="526" t="s">
        <v>1357</v>
      </c>
      <c r="AA266" s="81">
        <v>0</v>
      </c>
      <c r="AC266" s="81">
        <f t="shared" si="73"/>
        <v>0</v>
      </c>
      <c r="AE266" s="462"/>
      <c r="AF266" s="462"/>
      <c r="AG266" s="462"/>
      <c r="AH266" s="466"/>
      <c r="AQ266" s="641">
        <v>2195</v>
      </c>
      <c r="AR266" t="s">
        <v>2560</v>
      </c>
      <c r="AS266" t="s">
        <v>2561</v>
      </c>
      <c r="AT266" t="s">
        <v>2531</v>
      </c>
      <c r="AU266" s="642">
        <v>547505</v>
      </c>
    </row>
    <row r="267" spans="26:47" ht="12.9" x14ac:dyDescent="0.35">
      <c r="Z267" s="526" t="s">
        <v>1358</v>
      </c>
      <c r="AA267" s="81">
        <v>0</v>
      </c>
      <c r="AC267" s="81">
        <f t="shared" si="73"/>
        <v>0</v>
      </c>
      <c r="AE267" s="462"/>
      <c r="AF267" s="462"/>
      <c r="AG267" s="462"/>
      <c r="AH267" s="466"/>
      <c r="AQ267" s="641">
        <v>2197</v>
      </c>
      <c r="AR267" t="s">
        <v>2562</v>
      </c>
      <c r="AS267" t="s">
        <v>2563</v>
      </c>
      <c r="AT267" t="s">
        <v>2531</v>
      </c>
      <c r="AU267" s="642">
        <v>1899551</v>
      </c>
    </row>
    <row r="268" spans="26:47" ht="12.9" x14ac:dyDescent="0.35">
      <c r="Z268" s="526" t="s">
        <v>1359</v>
      </c>
      <c r="AA268" s="81">
        <v>0</v>
      </c>
      <c r="AC268" s="81">
        <f t="shared" si="73"/>
        <v>0</v>
      </c>
      <c r="AE268" s="462"/>
      <c r="AF268" s="462"/>
      <c r="AG268" s="462"/>
      <c r="AH268" s="466"/>
      <c r="AQ268" s="641">
        <v>2201</v>
      </c>
      <c r="AR268" t="s">
        <v>2564</v>
      </c>
      <c r="AS268" t="s">
        <v>2565</v>
      </c>
      <c r="AT268" t="s">
        <v>2531</v>
      </c>
      <c r="AU268" s="642">
        <v>1407069</v>
      </c>
    </row>
    <row r="269" spans="26:47" ht="12.9" x14ac:dyDescent="0.35">
      <c r="Z269" s="526" t="s">
        <v>1360</v>
      </c>
      <c r="AA269" s="81">
        <v>0</v>
      </c>
      <c r="AC269" s="81">
        <f t="shared" si="73"/>
        <v>0</v>
      </c>
      <c r="AE269" s="462"/>
      <c r="AF269" s="462"/>
      <c r="AG269" s="462"/>
      <c r="AQ269" s="641">
        <v>2205</v>
      </c>
      <c r="AR269" t="s">
        <v>2566</v>
      </c>
      <c r="AS269" t="s">
        <v>2567</v>
      </c>
      <c r="AT269" t="s">
        <v>2531</v>
      </c>
      <c r="AU269" s="642">
        <v>2230852</v>
      </c>
    </row>
    <row r="270" spans="26:47" ht="12.9" x14ac:dyDescent="0.35">
      <c r="AQ270" s="641">
        <v>2209</v>
      </c>
      <c r="AR270" t="s">
        <v>2568</v>
      </c>
      <c r="AS270" t="s">
        <v>2569</v>
      </c>
      <c r="AT270" t="s">
        <v>2531</v>
      </c>
      <c r="AU270" s="642">
        <v>1594629</v>
      </c>
    </row>
    <row r="271" spans="26:47" ht="12.9" x14ac:dyDescent="0.35">
      <c r="Z271" s="532" t="s">
        <v>1730</v>
      </c>
      <c r="AQ271" s="641">
        <v>2213</v>
      </c>
      <c r="AR271" t="s">
        <v>2570</v>
      </c>
      <c r="AS271" t="s">
        <v>2571</v>
      </c>
      <c r="AT271" t="s">
        <v>2531</v>
      </c>
      <c r="AU271" s="642">
        <v>991469</v>
      </c>
    </row>
    <row r="272" spans="26:47" ht="12.9" x14ac:dyDescent="0.35">
      <c r="Z272" s="526" t="s">
        <v>1731</v>
      </c>
      <c r="AA272" s="81">
        <f>IF(Camping!M503="no system",4,IF(Camping!M503="private system",3,IF(Camping!M503="public system",2,IF(Camping!M503="public &amp; private",1,0))))</f>
        <v>0</v>
      </c>
      <c r="AC272" s="81">
        <f>IF(AA272&gt;0,1,0)</f>
        <v>0</v>
      </c>
      <c r="AQ272" s="641">
        <v>2217</v>
      </c>
      <c r="AR272" t="s">
        <v>2572</v>
      </c>
      <c r="AS272" t="s">
        <v>2573</v>
      </c>
      <c r="AT272" t="s">
        <v>2531</v>
      </c>
      <c r="AU272" s="642">
        <v>1677261</v>
      </c>
    </row>
    <row r="273" spans="26:47" ht="12.9" x14ac:dyDescent="0.35">
      <c r="Z273" s="526" t="s">
        <v>1732</v>
      </c>
      <c r="AA273" s="81">
        <f>IF(Camping!M505="no responder",4,IF(Camping!M505="private only",3,IF(Camping!M505="public only",2,IF(Camping!M505="public &amp; private",1,0))))</f>
        <v>0</v>
      </c>
      <c r="AC273" s="81">
        <f>IF(AA273&gt;0,1,0)</f>
        <v>0</v>
      </c>
      <c r="AQ273" s="641">
        <v>2218</v>
      </c>
      <c r="AR273" t="s">
        <v>2574</v>
      </c>
      <c r="AS273" t="s">
        <v>2575</v>
      </c>
      <c r="AT273" t="s">
        <v>2531</v>
      </c>
      <c r="AU273" s="642">
        <v>666266</v>
      </c>
    </row>
    <row r="274" spans="26:47" ht="12.9" x14ac:dyDescent="0.35">
      <c r="Z274" s="526" t="s">
        <v>1733</v>
      </c>
      <c r="AA274" s="81">
        <f>IF(Camping!M507="significant",3,IF(Camping!M507="moderate",2,IF(Camping!M507="negligible",1,0)))</f>
        <v>0</v>
      </c>
      <c r="AC274" s="81">
        <f>IF(AA274&gt;0,1,0)</f>
        <v>0</v>
      </c>
      <c r="AQ274" s="641">
        <v>2221</v>
      </c>
      <c r="AR274" t="s">
        <v>2576</v>
      </c>
      <c r="AS274" t="s">
        <v>2577</v>
      </c>
      <c r="AT274" t="s">
        <v>2578</v>
      </c>
      <c r="AU274" s="642">
        <v>1961903</v>
      </c>
    </row>
    <row r="275" spans="26:47" ht="12.9" x14ac:dyDescent="0.35">
      <c r="Z275" s="526" t="s">
        <v>1734</v>
      </c>
      <c r="AA275" s="81">
        <f>IF(Camping!M509="select",0,IF(LEFT(Camping!M509,1)="n",4,IF(LEFT(Camping!M509,1)="s",3,IF(LEFT(Camping!M509,1)="m",2,1))))</f>
        <v>0</v>
      </c>
      <c r="AC275" s="81">
        <f>IF(AA275&gt;0,1,0)</f>
        <v>0</v>
      </c>
      <c r="AQ275" s="641">
        <v>2225</v>
      </c>
      <c r="AR275" t="s">
        <v>2579</v>
      </c>
      <c r="AS275" t="s">
        <v>2465</v>
      </c>
      <c r="AT275" t="s">
        <v>2531</v>
      </c>
      <c r="AU275" s="642">
        <v>1083479</v>
      </c>
    </row>
    <row r="276" spans="26:47" ht="12.9" x14ac:dyDescent="0.35">
      <c r="Z276" s="526" t="s">
        <v>1512</v>
      </c>
      <c r="AA276" s="81">
        <f>IF(Camping!M511="no",2,IF(Camping!M511="yes",0.0001,0))</f>
        <v>0</v>
      </c>
      <c r="AC276" s="81">
        <f>IF(AB253,1,IF(AA276&gt;0,1,0))</f>
        <v>0</v>
      </c>
      <c r="AQ276" s="641">
        <v>2229</v>
      </c>
      <c r="AR276" t="s">
        <v>2580</v>
      </c>
      <c r="AS276" t="s">
        <v>2227</v>
      </c>
      <c r="AT276" t="s">
        <v>2531</v>
      </c>
      <c r="AU276" s="642">
        <v>1184380</v>
      </c>
    </row>
    <row r="277" spans="26:47" ht="12.9" x14ac:dyDescent="0.35">
      <c r="Z277" s="526" t="s">
        <v>1735</v>
      </c>
      <c r="AA277" s="81">
        <f>IF(AA276=2,0,1)</f>
        <v>1</v>
      </c>
      <c r="AC277" s="81">
        <f>IF(AB253,1,IF(AA276=2,1,IF(AA277&gt;0,1,0)))</f>
        <v>1</v>
      </c>
      <c r="AQ277" s="641">
        <v>2233</v>
      </c>
      <c r="AR277" t="s">
        <v>2581</v>
      </c>
      <c r="AS277" t="s">
        <v>2582</v>
      </c>
      <c r="AT277" t="s">
        <v>2531</v>
      </c>
      <c r="AU277" s="642">
        <v>1634392</v>
      </c>
    </row>
    <row r="278" spans="26:47" ht="12.9" x14ac:dyDescent="0.35">
      <c r="Z278" s="526" t="s">
        <v>1736</v>
      </c>
      <c r="AA278" s="81">
        <f>IF(AA276=2,0,IF(LEFT(Camping!AC513,1)="s",1,IF(LEFT(Camping!AC513,1)="n",2,1)))</f>
        <v>1</v>
      </c>
      <c r="AC278" s="81">
        <f>IF(AB253,1,IF(AA276=2,1,IF(AA278&gt;0,1,0)))</f>
        <v>1</v>
      </c>
      <c r="AQ278" s="641">
        <v>2245</v>
      </c>
      <c r="AR278" t="s">
        <v>2583</v>
      </c>
      <c r="AS278" t="s">
        <v>2584</v>
      </c>
      <c r="AT278" t="s">
        <v>2585</v>
      </c>
      <c r="AU278" s="642">
        <v>872984</v>
      </c>
    </row>
    <row r="279" spans="26:47" ht="12.9" x14ac:dyDescent="0.35">
      <c r="Z279" s="526" t="s">
        <v>1737</v>
      </c>
      <c r="AA279" s="81">
        <f>IF(Camping!M515="select",0,IF(LEFT(Camping!M515,4)="no s",2,IF(LEFT(Camping!M515,4)="no h",4,0.001)))</f>
        <v>0</v>
      </c>
      <c r="AC279" s="81">
        <f>IF(AB253,1,IF(AA279&gt;0,1,0))</f>
        <v>0</v>
      </c>
      <c r="AQ279" s="641">
        <v>2258</v>
      </c>
      <c r="AR279" t="s">
        <v>2586</v>
      </c>
      <c r="AS279" t="s">
        <v>2587</v>
      </c>
      <c r="AT279" t="s">
        <v>2585</v>
      </c>
      <c r="AU279" s="642">
        <v>942829</v>
      </c>
    </row>
    <row r="280" spans="26:47" ht="12.9" x14ac:dyDescent="0.35">
      <c r="Z280" s="526" t="s">
        <v>1793</v>
      </c>
      <c r="AA280" s="81">
        <f>IF(AA279=4,0,IF(Camping!X513=1,2,1))</f>
        <v>1</v>
      </c>
      <c r="AQ280" s="641">
        <v>2261</v>
      </c>
      <c r="AR280" t="s">
        <v>2588</v>
      </c>
      <c r="AS280" t="s">
        <v>2589</v>
      </c>
      <c r="AT280" t="s">
        <v>2585</v>
      </c>
      <c r="AU280" s="642">
        <v>1075478</v>
      </c>
    </row>
    <row r="281" spans="26:47" ht="12.9" x14ac:dyDescent="0.35">
      <c r="Z281" s="526" t="s">
        <v>1514</v>
      </c>
      <c r="AA281" s="81">
        <f>IF(AA282="no e",3,IF(AA282="in m",2,IF(AA282="in o",1,IF(AA282="in a",0,0.001))))</f>
        <v>1E-3</v>
      </c>
      <c r="AC281" s="81">
        <f>IF(Camping!M517="select",0,1)</f>
        <v>0</v>
      </c>
      <c r="AQ281" s="641">
        <v>2262</v>
      </c>
      <c r="AR281" t="s">
        <v>2590</v>
      </c>
      <c r="AS281" t="s">
        <v>2591</v>
      </c>
      <c r="AT281" t="s">
        <v>2585</v>
      </c>
      <c r="AU281" s="642">
        <v>1413485</v>
      </c>
    </row>
    <row r="282" spans="26:47" ht="12.9" x14ac:dyDescent="0.35">
      <c r="AA282" s="81" t="str">
        <f>LEFT(Camping!M517,4)</f>
        <v>sele</v>
      </c>
      <c r="AQ282" s="641">
        <v>2267</v>
      </c>
      <c r="AR282" t="s">
        <v>2592</v>
      </c>
      <c r="AS282" t="s">
        <v>2593</v>
      </c>
      <c r="AT282" t="s">
        <v>2585</v>
      </c>
      <c r="AU282" s="642">
        <v>671621</v>
      </c>
    </row>
    <row r="283" spans="26:47" ht="12.9" x14ac:dyDescent="0.35">
      <c r="AQ283" s="641">
        <v>2283</v>
      </c>
      <c r="AR283" t="s">
        <v>2594</v>
      </c>
      <c r="AS283" t="s">
        <v>2595</v>
      </c>
      <c r="AT283" t="s">
        <v>2585</v>
      </c>
      <c r="AU283" s="642">
        <v>770983</v>
      </c>
    </row>
    <row r="284" spans="26:47" ht="12.9" x14ac:dyDescent="0.35">
      <c r="AQ284" s="641">
        <v>2295</v>
      </c>
      <c r="AR284" t="s">
        <v>2596</v>
      </c>
      <c r="AS284" t="s">
        <v>2597</v>
      </c>
      <c r="AT284" t="s">
        <v>2585</v>
      </c>
      <c r="AU284" s="642">
        <v>1261328</v>
      </c>
    </row>
    <row r="285" spans="26:47" ht="12.9" x14ac:dyDescent="0.35">
      <c r="AQ285" s="641">
        <v>2299</v>
      </c>
      <c r="AR285" t="s">
        <v>2598</v>
      </c>
      <c r="AS285" t="s">
        <v>2599</v>
      </c>
      <c r="AT285" t="s">
        <v>2585</v>
      </c>
      <c r="AU285" s="642">
        <v>2497748</v>
      </c>
    </row>
    <row r="286" spans="26:47" ht="12.9" x14ac:dyDescent="0.35">
      <c r="AQ286" s="641">
        <v>2303</v>
      </c>
      <c r="AR286" t="s">
        <v>2600</v>
      </c>
      <c r="AS286" t="s">
        <v>2601</v>
      </c>
      <c r="AT286" t="s">
        <v>2585</v>
      </c>
      <c r="AU286" s="642">
        <v>4352319</v>
      </c>
    </row>
    <row r="287" spans="26:47" ht="12.9" x14ac:dyDescent="0.35">
      <c r="AQ287" s="641">
        <v>2311</v>
      </c>
      <c r="AR287" t="s">
        <v>2602</v>
      </c>
      <c r="AS287" t="s">
        <v>2603</v>
      </c>
      <c r="AT287" t="s">
        <v>2585</v>
      </c>
      <c r="AU287" s="642">
        <v>31828579</v>
      </c>
    </row>
    <row r="288" spans="26:47" ht="12.9" x14ac:dyDescent="0.35">
      <c r="AQ288" s="641">
        <v>2337</v>
      </c>
      <c r="AR288" t="s">
        <v>2604</v>
      </c>
      <c r="AS288" t="s">
        <v>2605</v>
      </c>
      <c r="AT288" t="s">
        <v>2606</v>
      </c>
      <c r="AU288" s="642">
        <v>2063734</v>
      </c>
    </row>
    <row r="289" spans="43:47" ht="12.9" x14ac:dyDescent="0.35">
      <c r="AQ289" s="641">
        <v>2340</v>
      </c>
      <c r="AR289" t="s">
        <v>2607</v>
      </c>
      <c r="AS289" t="s">
        <v>2608</v>
      </c>
      <c r="AT289" t="s">
        <v>2606</v>
      </c>
      <c r="AU289" s="642">
        <v>952199</v>
      </c>
    </row>
    <row r="290" spans="43:47" ht="12.9" x14ac:dyDescent="0.35">
      <c r="AQ290" s="641">
        <v>2357</v>
      </c>
      <c r="AR290" t="s">
        <v>2609</v>
      </c>
      <c r="AS290" t="s">
        <v>2448</v>
      </c>
      <c r="AT290" t="s">
        <v>2606</v>
      </c>
      <c r="AU290" s="642">
        <v>2263001</v>
      </c>
    </row>
    <row r="291" spans="43:47" ht="12.9" x14ac:dyDescent="0.35">
      <c r="AQ291" s="641">
        <v>2361</v>
      </c>
      <c r="AR291" t="s">
        <v>2610</v>
      </c>
      <c r="AS291" t="s">
        <v>2611</v>
      </c>
      <c r="AT291" t="s">
        <v>2606</v>
      </c>
      <c r="AU291" s="642">
        <v>10251392</v>
      </c>
    </row>
    <row r="292" spans="43:47" ht="12.9" x14ac:dyDescent="0.35">
      <c r="AQ292" s="641">
        <v>2369</v>
      </c>
      <c r="AR292" t="s">
        <v>2612</v>
      </c>
      <c r="AS292" t="s">
        <v>2400</v>
      </c>
      <c r="AT292" t="s">
        <v>2606</v>
      </c>
      <c r="AU292" s="642">
        <v>1248681</v>
      </c>
    </row>
    <row r="293" spans="43:47" ht="12.9" x14ac:dyDescent="0.35">
      <c r="AQ293" s="641">
        <v>2374</v>
      </c>
      <c r="AR293" t="s">
        <v>2613</v>
      </c>
      <c r="AS293" t="s">
        <v>2526</v>
      </c>
      <c r="AT293" t="s">
        <v>2606</v>
      </c>
      <c r="AU293" s="642">
        <v>829137</v>
      </c>
    </row>
    <row r="294" spans="43:47" ht="12.9" x14ac:dyDescent="0.35">
      <c r="AQ294" s="641">
        <v>2377</v>
      </c>
      <c r="AR294" t="s">
        <v>2614</v>
      </c>
      <c r="AS294" t="s">
        <v>2615</v>
      </c>
      <c r="AT294" t="s">
        <v>2606</v>
      </c>
      <c r="AU294" s="642">
        <v>1404341</v>
      </c>
    </row>
    <row r="295" spans="43:47" ht="12.9" x14ac:dyDescent="0.35">
      <c r="AQ295" s="641">
        <v>2379</v>
      </c>
      <c r="AR295" t="s">
        <v>2616</v>
      </c>
      <c r="AS295" t="s">
        <v>2617</v>
      </c>
      <c r="AT295" t="s">
        <v>2606</v>
      </c>
      <c r="AU295" s="642">
        <v>1126363</v>
      </c>
    </row>
    <row r="296" spans="43:47" ht="12.9" x14ac:dyDescent="0.35">
      <c r="AQ296" s="641">
        <v>2385</v>
      </c>
      <c r="AR296" t="s">
        <v>2618</v>
      </c>
      <c r="AS296" t="s">
        <v>2619</v>
      </c>
      <c r="AT296" t="s">
        <v>2606</v>
      </c>
      <c r="AU296" s="642">
        <v>35844662</v>
      </c>
    </row>
    <row r="297" spans="43:47" ht="12.9" x14ac:dyDescent="0.35">
      <c r="AQ297" s="641">
        <v>2415</v>
      </c>
      <c r="AR297" t="s">
        <v>2620</v>
      </c>
      <c r="AS297" t="s">
        <v>2621</v>
      </c>
      <c r="AT297" t="s">
        <v>2606</v>
      </c>
      <c r="AU297" s="642">
        <v>1191215</v>
      </c>
    </row>
    <row r="298" spans="43:47" ht="12.9" x14ac:dyDescent="0.35">
      <c r="AQ298" s="641">
        <v>2416</v>
      </c>
      <c r="AR298" t="s">
        <v>2622</v>
      </c>
      <c r="AS298" t="s">
        <v>2623</v>
      </c>
      <c r="AT298" t="s">
        <v>2606</v>
      </c>
      <c r="AU298" s="642">
        <v>1167096</v>
      </c>
    </row>
    <row r="299" spans="43:47" ht="12.9" x14ac:dyDescent="0.35">
      <c r="AQ299" s="641">
        <v>2417</v>
      </c>
      <c r="AR299" t="s">
        <v>2624</v>
      </c>
      <c r="AS299" t="s">
        <v>2625</v>
      </c>
      <c r="AT299" t="s">
        <v>2606</v>
      </c>
      <c r="AU299" s="642">
        <v>1669894</v>
      </c>
    </row>
    <row r="300" spans="43:47" ht="12.9" x14ac:dyDescent="0.35">
      <c r="AQ300" s="641">
        <v>2418</v>
      </c>
      <c r="AR300" t="s">
        <v>2626</v>
      </c>
      <c r="AS300" t="s">
        <v>2627</v>
      </c>
      <c r="AT300" t="s">
        <v>2606</v>
      </c>
      <c r="AU300" s="642">
        <v>184445</v>
      </c>
    </row>
    <row r="301" spans="43:47" ht="12.9" x14ac:dyDescent="0.35">
      <c r="AQ301" s="641">
        <v>2419</v>
      </c>
      <c r="AR301" t="s">
        <v>2628</v>
      </c>
      <c r="AS301" t="s">
        <v>2629</v>
      </c>
      <c r="AT301" t="s">
        <v>2606</v>
      </c>
      <c r="AU301" s="642">
        <v>1537334</v>
      </c>
    </row>
    <row r="302" spans="43:47" ht="12.9" x14ac:dyDescent="0.35">
      <c r="AQ302" s="641">
        <v>2425</v>
      </c>
      <c r="AR302" t="s">
        <v>2630</v>
      </c>
      <c r="AS302" t="s">
        <v>2631</v>
      </c>
      <c r="AT302" t="s">
        <v>2606</v>
      </c>
      <c r="AU302" s="642">
        <v>920900</v>
      </c>
    </row>
    <row r="303" spans="43:47" ht="12.9" x14ac:dyDescent="0.35">
      <c r="AQ303" s="641">
        <v>2426</v>
      </c>
      <c r="AR303" t="s">
        <v>2632</v>
      </c>
      <c r="AS303" t="s">
        <v>2524</v>
      </c>
      <c r="AT303" t="s">
        <v>2606</v>
      </c>
      <c r="AU303" s="642">
        <v>1332729</v>
      </c>
    </row>
    <row r="304" spans="43:47" ht="12.9" x14ac:dyDescent="0.35">
      <c r="AQ304" s="641">
        <v>2428</v>
      </c>
      <c r="AR304" t="s">
        <v>2633</v>
      </c>
      <c r="AS304" t="s">
        <v>2634</v>
      </c>
      <c r="AT304" t="s">
        <v>2606</v>
      </c>
      <c r="AU304" s="642">
        <v>564852</v>
      </c>
    </row>
    <row r="305" spans="43:47" ht="12.9" x14ac:dyDescent="0.35">
      <c r="AQ305" s="641">
        <v>2429</v>
      </c>
      <c r="AR305" t="s">
        <v>2635</v>
      </c>
      <c r="AS305" t="s">
        <v>2448</v>
      </c>
      <c r="AT305" t="s">
        <v>2606</v>
      </c>
      <c r="AU305" s="642">
        <v>1594627</v>
      </c>
    </row>
    <row r="306" spans="43:47" ht="12.9" x14ac:dyDescent="0.35">
      <c r="AQ306" s="641">
        <v>2430</v>
      </c>
      <c r="AR306" t="s">
        <v>2636</v>
      </c>
      <c r="AS306" t="s">
        <v>2637</v>
      </c>
      <c r="AT306" t="s">
        <v>2606</v>
      </c>
      <c r="AU306" s="642">
        <v>390380</v>
      </c>
    </row>
    <row r="307" spans="43:47" ht="12.9" x14ac:dyDescent="0.35">
      <c r="AQ307" s="641">
        <v>2433</v>
      </c>
      <c r="AR307" t="s">
        <v>2638</v>
      </c>
      <c r="AS307" t="s">
        <v>2639</v>
      </c>
      <c r="AT307" t="s">
        <v>2640</v>
      </c>
      <c r="AU307" s="642">
        <v>878306</v>
      </c>
    </row>
    <row r="308" spans="43:47" ht="12.9" x14ac:dyDescent="0.35">
      <c r="AQ308" s="641">
        <v>2437</v>
      </c>
      <c r="AR308" t="s">
        <v>2641</v>
      </c>
      <c r="AS308" t="s">
        <v>2642</v>
      </c>
      <c r="AT308" t="s">
        <v>2640</v>
      </c>
      <c r="AU308" s="642">
        <v>13410568</v>
      </c>
    </row>
    <row r="309" spans="43:47" ht="12.9" x14ac:dyDescent="0.35">
      <c r="AQ309" s="641">
        <v>2451</v>
      </c>
      <c r="AR309" t="s">
        <v>2643</v>
      </c>
      <c r="AS309" t="s">
        <v>2644</v>
      </c>
      <c r="AT309" t="s">
        <v>2640</v>
      </c>
      <c r="AU309" s="642">
        <v>165049</v>
      </c>
    </row>
    <row r="310" spans="43:47" ht="12.9" x14ac:dyDescent="0.35">
      <c r="AQ310" s="641">
        <v>2453</v>
      </c>
      <c r="AR310" t="s">
        <v>2645</v>
      </c>
      <c r="AS310" t="s">
        <v>2284</v>
      </c>
      <c r="AT310" t="s">
        <v>2606</v>
      </c>
      <c r="AU310" s="642">
        <v>54822</v>
      </c>
    </row>
    <row r="311" spans="43:47" ht="12.9" x14ac:dyDescent="0.35">
      <c r="AQ311" s="641">
        <v>2462</v>
      </c>
      <c r="AR311" t="s">
        <v>2646</v>
      </c>
      <c r="AS311" t="s">
        <v>2499</v>
      </c>
      <c r="AT311" t="s">
        <v>2640</v>
      </c>
      <c r="AU311" s="642">
        <v>428615</v>
      </c>
    </row>
    <row r="312" spans="43:47" ht="12.9" x14ac:dyDescent="0.35">
      <c r="AQ312" s="641">
        <v>2467</v>
      </c>
      <c r="AR312" t="s">
        <v>2647</v>
      </c>
      <c r="AS312" t="s">
        <v>2648</v>
      </c>
      <c r="AT312" t="s">
        <v>2640</v>
      </c>
      <c r="AU312" s="642">
        <v>800096</v>
      </c>
    </row>
    <row r="313" spans="43:47" ht="12.9" x14ac:dyDescent="0.35">
      <c r="AQ313" s="641">
        <v>2471</v>
      </c>
      <c r="AR313" t="s">
        <v>2649</v>
      </c>
      <c r="AS313" t="s">
        <v>2650</v>
      </c>
      <c r="AT313" t="s">
        <v>2640</v>
      </c>
      <c r="AU313" s="642">
        <v>7176905</v>
      </c>
    </row>
    <row r="314" spans="43:47" ht="12.9" x14ac:dyDescent="0.35">
      <c r="AQ314" s="641">
        <v>2487</v>
      </c>
      <c r="AR314" t="s">
        <v>2651</v>
      </c>
      <c r="AS314" t="s">
        <v>2652</v>
      </c>
      <c r="AT314" t="s">
        <v>2640</v>
      </c>
      <c r="AU314" s="642">
        <v>10806963</v>
      </c>
    </row>
    <row r="315" spans="43:47" ht="12.9" x14ac:dyDescent="0.35">
      <c r="AQ315" s="641">
        <v>2491</v>
      </c>
      <c r="AR315" t="s">
        <v>2653</v>
      </c>
      <c r="AS315" t="s">
        <v>2654</v>
      </c>
      <c r="AT315" t="s">
        <v>2640</v>
      </c>
      <c r="AU315" s="642">
        <v>2844224</v>
      </c>
    </row>
    <row r="316" spans="43:47" ht="12.9" x14ac:dyDescent="0.35">
      <c r="AQ316" s="641">
        <v>2511</v>
      </c>
      <c r="AR316" t="s">
        <v>2655</v>
      </c>
      <c r="AS316" t="s">
        <v>2656</v>
      </c>
      <c r="AT316" t="s">
        <v>2657</v>
      </c>
      <c r="AU316" s="642">
        <v>764932</v>
      </c>
    </row>
    <row r="317" spans="43:47" ht="12.9" x14ac:dyDescent="0.35">
      <c r="AQ317" s="641">
        <v>2512</v>
      </c>
      <c r="AR317" t="s">
        <v>2658</v>
      </c>
      <c r="AS317" t="s">
        <v>2659</v>
      </c>
      <c r="AT317" t="s">
        <v>2657</v>
      </c>
      <c r="AU317" s="642">
        <v>732305</v>
      </c>
    </row>
    <row r="318" spans="43:47" ht="12.9" x14ac:dyDescent="0.35">
      <c r="AQ318" s="641">
        <v>2513</v>
      </c>
      <c r="AR318" t="s">
        <v>2660</v>
      </c>
      <c r="AS318" t="s">
        <v>2661</v>
      </c>
      <c r="AT318" t="s">
        <v>2657</v>
      </c>
      <c r="AU318" s="642">
        <v>1650100</v>
      </c>
    </row>
    <row r="319" spans="43:47" ht="12.9" x14ac:dyDescent="0.35">
      <c r="AQ319" s="641">
        <v>2516</v>
      </c>
      <c r="AR319" t="s">
        <v>2662</v>
      </c>
      <c r="AS319" t="s">
        <v>2663</v>
      </c>
      <c r="AT319" t="s">
        <v>2657</v>
      </c>
      <c r="AU319" s="642">
        <v>1929297</v>
      </c>
    </row>
    <row r="320" spans="43:47" ht="12.9" x14ac:dyDescent="0.35">
      <c r="AQ320" s="641">
        <v>2517</v>
      </c>
      <c r="AR320" t="s">
        <v>2664</v>
      </c>
      <c r="AS320" t="s">
        <v>2665</v>
      </c>
      <c r="AT320" t="s">
        <v>2657</v>
      </c>
      <c r="AU320" s="642">
        <v>1734397</v>
      </c>
    </row>
    <row r="321" spans="43:47" ht="12.9" x14ac:dyDescent="0.35">
      <c r="AQ321" s="641">
        <v>2519</v>
      </c>
      <c r="AR321" t="s">
        <v>2666</v>
      </c>
      <c r="AS321" t="s">
        <v>2667</v>
      </c>
      <c r="AT321" t="s">
        <v>2657</v>
      </c>
      <c r="AU321" s="642">
        <v>1072936</v>
      </c>
    </row>
    <row r="322" spans="43:47" ht="12.9" x14ac:dyDescent="0.35">
      <c r="AQ322" s="641">
        <v>2521</v>
      </c>
      <c r="AR322" t="s">
        <v>2668</v>
      </c>
      <c r="AS322" t="s">
        <v>2291</v>
      </c>
      <c r="AT322" t="s">
        <v>2657</v>
      </c>
      <c r="AU322" s="642">
        <v>1938247</v>
      </c>
    </row>
    <row r="323" spans="43:47" ht="12.9" x14ac:dyDescent="0.35">
      <c r="AQ323" s="641">
        <v>2522</v>
      </c>
      <c r="AR323" t="s">
        <v>2669</v>
      </c>
      <c r="AS323" t="s">
        <v>2670</v>
      </c>
      <c r="AT323" t="s">
        <v>2657</v>
      </c>
      <c r="AU323" s="642">
        <v>456617</v>
      </c>
    </row>
    <row r="324" spans="43:47" ht="12.9" x14ac:dyDescent="0.35">
      <c r="AQ324" s="641">
        <v>2525</v>
      </c>
      <c r="AR324" t="s">
        <v>2671</v>
      </c>
      <c r="AS324" t="s">
        <v>2439</v>
      </c>
      <c r="AT324" t="s">
        <v>2657</v>
      </c>
      <c r="AU324" s="642">
        <v>1783787</v>
      </c>
    </row>
    <row r="325" spans="43:47" ht="12.9" x14ac:dyDescent="0.35">
      <c r="AQ325" s="641">
        <v>2526</v>
      </c>
      <c r="AR325" t="s">
        <v>2672</v>
      </c>
      <c r="AS325" t="s">
        <v>2673</v>
      </c>
      <c r="AT325" t="s">
        <v>2657</v>
      </c>
      <c r="AU325" s="642">
        <v>976152</v>
      </c>
    </row>
    <row r="326" spans="43:47" ht="12.9" x14ac:dyDescent="0.35">
      <c r="AQ326" s="641">
        <v>2529</v>
      </c>
      <c r="AR326" t="s">
        <v>2674</v>
      </c>
      <c r="AS326" t="s">
        <v>2675</v>
      </c>
      <c r="AT326" t="s">
        <v>2657</v>
      </c>
      <c r="AU326" s="642">
        <v>2103356</v>
      </c>
    </row>
    <row r="327" spans="43:47" ht="12.9" x14ac:dyDescent="0.35">
      <c r="AQ327" s="641">
        <v>2533</v>
      </c>
      <c r="AR327" t="s">
        <v>2676</v>
      </c>
      <c r="AS327" t="s">
        <v>2677</v>
      </c>
      <c r="AT327" t="s">
        <v>2657</v>
      </c>
      <c r="AU327" s="642">
        <v>1509414</v>
      </c>
    </row>
    <row r="328" spans="43:47" ht="12.9" x14ac:dyDescent="0.35">
      <c r="AQ328" s="641">
        <v>2537</v>
      </c>
      <c r="AR328" t="s">
        <v>2678</v>
      </c>
      <c r="AS328" t="s">
        <v>2679</v>
      </c>
      <c r="AT328" t="s">
        <v>2657</v>
      </c>
      <c r="AU328" s="642">
        <v>2360030</v>
      </c>
    </row>
    <row r="329" spans="43:47" ht="12.9" x14ac:dyDescent="0.35">
      <c r="AQ329" s="641">
        <v>2540</v>
      </c>
      <c r="AR329" t="s">
        <v>2680</v>
      </c>
      <c r="AS329" t="s">
        <v>2681</v>
      </c>
      <c r="AT329" t="s">
        <v>2657</v>
      </c>
      <c r="AU329" s="642">
        <v>1564320</v>
      </c>
    </row>
    <row r="330" spans="43:47" ht="12.9" x14ac:dyDescent="0.35">
      <c r="AQ330" s="641">
        <v>2541</v>
      </c>
      <c r="AR330" t="s">
        <v>2682</v>
      </c>
      <c r="AS330" t="s">
        <v>2683</v>
      </c>
      <c r="AT330" t="s">
        <v>2657</v>
      </c>
      <c r="AU330" s="642">
        <v>2772763</v>
      </c>
    </row>
    <row r="331" spans="43:47" ht="12.9" x14ac:dyDescent="0.35">
      <c r="AQ331" s="641">
        <v>2545</v>
      </c>
      <c r="AR331" t="s">
        <v>2684</v>
      </c>
      <c r="AS331" t="s">
        <v>2685</v>
      </c>
      <c r="AT331" t="s">
        <v>2657</v>
      </c>
      <c r="AU331" s="642">
        <v>6028317</v>
      </c>
    </row>
    <row r="332" spans="43:47" ht="12.9" x14ac:dyDescent="0.35">
      <c r="AQ332" s="641">
        <v>2549</v>
      </c>
      <c r="AR332" t="s">
        <v>2686</v>
      </c>
      <c r="AS332" t="s">
        <v>2687</v>
      </c>
      <c r="AT332" t="s">
        <v>2657</v>
      </c>
      <c r="AU332" s="642">
        <v>1614874</v>
      </c>
    </row>
    <row r="333" spans="43:47" ht="12.9" x14ac:dyDescent="0.35">
      <c r="AQ333" s="641">
        <v>2565</v>
      </c>
      <c r="AR333" t="s">
        <v>2688</v>
      </c>
      <c r="AS333" t="s">
        <v>2689</v>
      </c>
      <c r="AT333" t="s">
        <v>2690</v>
      </c>
      <c r="AU333" s="642">
        <v>35304213</v>
      </c>
    </row>
    <row r="334" spans="43:47" ht="12.9" x14ac:dyDescent="0.35">
      <c r="AQ334" s="641">
        <v>2605</v>
      </c>
      <c r="AR334" t="s">
        <v>2691</v>
      </c>
      <c r="AS334" t="s">
        <v>2692</v>
      </c>
      <c r="AT334" t="s">
        <v>2690</v>
      </c>
      <c r="AU334" s="642">
        <v>3477131</v>
      </c>
    </row>
    <row r="335" spans="43:47" ht="12.9" x14ac:dyDescent="0.35">
      <c r="AQ335" s="641">
        <v>2612</v>
      </c>
      <c r="AR335" t="s">
        <v>2693</v>
      </c>
      <c r="AS335" t="s">
        <v>2694</v>
      </c>
      <c r="AT335" t="s">
        <v>2690</v>
      </c>
      <c r="AU335" s="642">
        <v>918288</v>
      </c>
    </row>
    <row r="336" spans="43:47" ht="12.9" x14ac:dyDescent="0.35">
      <c r="AQ336" s="641">
        <v>2615</v>
      </c>
      <c r="AR336" t="s">
        <v>2695</v>
      </c>
      <c r="AS336" t="s">
        <v>2696</v>
      </c>
      <c r="AT336" t="s">
        <v>2690</v>
      </c>
      <c r="AU336" s="642">
        <v>2794770</v>
      </c>
    </row>
    <row r="337" spans="43:47" ht="12.9" x14ac:dyDescent="0.35">
      <c r="AQ337" s="641">
        <v>2619</v>
      </c>
      <c r="AR337" t="s">
        <v>2697</v>
      </c>
      <c r="AS337" t="s">
        <v>2698</v>
      </c>
      <c r="AT337" t="s">
        <v>2690</v>
      </c>
      <c r="AU337" s="642">
        <v>3513170</v>
      </c>
    </row>
    <row r="338" spans="43:47" ht="12.9" x14ac:dyDescent="0.35">
      <c r="AQ338" s="641">
        <v>2623</v>
      </c>
      <c r="AR338" t="s">
        <v>2699</v>
      </c>
      <c r="AS338" t="s">
        <v>2700</v>
      </c>
      <c r="AT338" t="s">
        <v>2690</v>
      </c>
      <c r="AU338" s="642">
        <v>9457635</v>
      </c>
    </row>
    <row r="339" spans="43:47" ht="12.9" x14ac:dyDescent="0.35">
      <c r="AQ339" s="641">
        <v>2627</v>
      </c>
      <c r="AR339" t="s">
        <v>2701</v>
      </c>
      <c r="AS339" t="s">
        <v>2702</v>
      </c>
      <c r="AT339" t="s">
        <v>2690</v>
      </c>
      <c r="AU339" s="642">
        <v>3234430</v>
      </c>
    </row>
    <row r="340" spans="43:47" ht="12.9" x14ac:dyDescent="0.35">
      <c r="AQ340" s="641">
        <v>2631</v>
      </c>
      <c r="AR340" t="s">
        <v>2703</v>
      </c>
      <c r="AS340" t="s">
        <v>2704</v>
      </c>
      <c r="AT340" t="s">
        <v>2690</v>
      </c>
      <c r="AU340" s="642">
        <v>3378143</v>
      </c>
    </row>
    <row r="341" spans="43:47" ht="12.9" x14ac:dyDescent="0.35">
      <c r="AQ341" s="641">
        <v>2639</v>
      </c>
      <c r="AR341" t="s">
        <v>2705</v>
      </c>
      <c r="AS341" t="s">
        <v>2706</v>
      </c>
      <c r="AT341" t="s">
        <v>2707</v>
      </c>
      <c r="AU341" s="642">
        <v>1126494</v>
      </c>
    </row>
    <row r="342" spans="43:47" ht="12.9" x14ac:dyDescent="0.35">
      <c r="AQ342" s="641">
        <v>2643</v>
      </c>
      <c r="AR342" t="s">
        <v>2708</v>
      </c>
      <c r="AS342" t="s">
        <v>2709</v>
      </c>
      <c r="AT342" t="s">
        <v>2707</v>
      </c>
      <c r="AU342" s="642">
        <v>3087161</v>
      </c>
    </row>
    <row r="343" spans="43:47" ht="12.9" x14ac:dyDescent="0.35">
      <c r="AQ343" s="641">
        <v>2645</v>
      </c>
      <c r="AR343" t="s">
        <v>2710</v>
      </c>
      <c r="AS343" t="s">
        <v>2711</v>
      </c>
      <c r="AT343" t="s">
        <v>2707</v>
      </c>
      <c r="AU343" s="642">
        <v>6459531</v>
      </c>
    </row>
    <row r="344" spans="43:47" ht="12.9" x14ac:dyDescent="0.35">
      <c r="AQ344" s="641">
        <v>2651</v>
      </c>
      <c r="AR344" t="s">
        <v>2712</v>
      </c>
      <c r="AS344" t="s">
        <v>2713</v>
      </c>
      <c r="AT344" t="s">
        <v>2707</v>
      </c>
      <c r="AU344" s="642">
        <v>56004180</v>
      </c>
    </row>
    <row r="345" spans="43:47" ht="12.9" x14ac:dyDescent="0.35">
      <c r="AQ345" s="641">
        <v>2717</v>
      </c>
      <c r="AR345" t="s">
        <v>2714</v>
      </c>
      <c r="AS345" t="s">
        <v>2715</v>
      </c>
      <c r="AT345" t="s">
        <v>2707</v>
      </c>
      <c r="AU345" s="642">
        <v>35946212</v>
      </c>
    </row>
    <row r="346" spans="43:47" ht="12.9" x14ac:dyDescent="0.35">
      <c r="AQ346" s="641">
        <v>2721</v>
      </c>
      <c r="AR346" t="s">
        <v>2716</v>
      </c>
      <c r="AS346" t="s">
        <v>2717</v>
      </c>
      <c r="AT346" t="s">
        <v>2707</v>
      </c>
      <c r="AU346" s="642">
        <v>3972163</v>
      </c>
    </row>
    <row r="347" spans="43:47" ht="12.9" x14ac:dyDescent="0.35">
      <c r="AQ347" s="641">
        <v>2725</v>
      </c>
      <c r="AR347" t="s">
        <v>2718</v>
      </c>
      <c r="AS347" t="s">
        <v>2694</v>
      </c>
      <c r="AT347" t="s">
        <v>2707</v>
      </c>
      <c r="AU347" s="642">
        <v>2312230</v>
      </c>
    </row>
    <row r="348" spans="43:47" ht="12.9" x14ac:dyDescent="0.35">
      <c r="AQ348" s="641">
        <v>2728</v>
      </c>
      <c r="AR348" t="s">
        <v>2719</v>
      </c>
      <c r="AS348" t="s">
        <v>2720</v>
      </c>
      <c r="AT348" t="s">
        <v>2707</v>
      </c>
      <c r="AU348" s="642" t="s">
        <v>2059</v>
      </c>
    </row>
    <row r="349" spans="43:47" ht="12.9" x14ac:dyDescent="0.35">
      <c r="AQ349" s="641">
        <v>2741</v>
      </c>
      <c r="AR349" t="s">
        <v>2721</v>
      </c>
      <c r="AS349" t="s">
        <v>2722</v>
      </c>
      <c r="AT349" t="s">
        <v>2707</v>
      </c>
      <c r="AU349" s="642">
        <v>1493996</v>
      </c>
    </row>
    <row r="350" spans="43:47" ht="12.9" x14ac:dyDescent="0.35">
      <c r="AQ350" s="641">
        <v>2751</v>
      </c>
      <c r="AR350" t="s">
        <v>2723</v>
      </c>
      <c r="AS350" t="s">
        <v>2724</v>
      </c>
      <c r="AT350" t="s">
        <v>2707</v>
      </c>
      <c r="AU350" s="642">
        <v>536196</v>
      </c>
    </row>
    <row r="351" spans="43:47" ht="12.9" x14ac:dyDescent="0.35">
      <c r="AQ351" s="641">
        <v>2753</v>
      </c>
      <c r="AR351" t="s">
        <v>2725</v>
      </c>
      <c r="AS351" t="s">
        <v>2726</v>
      </c>
      <c r="AT351" t="s">
        <v>2707</v>
      </c>
      <c r="AU351" s="642">
        <v>2053007</v>
      </c>
    </row>
    <row r="352" spans="43:47" ht="12.9" x14ac:dyDescent="0.35">
      <c r="AQ352" s="641">
        <v>2761</v>
      </c>
      <c r="AR352" t="s">
        <v>2727</v>
      </c>
      <c r="AS352" t="s">
        <v>2728</v>
      </c>
      <c r="AT352" t="s">
        <v>2707</v>
      </c>
      <c r="AU352" s="642">
        <v>2630537</v>
      </c>
    </row>
    <row r="353" spans="43:47" ht="12.9" x14ac:dyDescent="0.35">
      <c r="AQ353" s="641">
        <v>2769</v>
      </c>
      <c r="AR353" t="s">
        <v>2729</v>
      </c>
      <c r="AS353" t="s">
        <v>2730</v>
      </c>
      <c r="AT353" t="s">
        <v>2707</v>
      </c>
      <c r="AU353" s="642">
        <v>2581394</v>
      </c>
    </row>
    <row r="354" spans="43:47" ht="12.9" x14ac:dyDescent="0.35">
      <c r="AQ354" s="641">
        <v>2773</v>
      </c>
      <c r="AR354" t="s">
        <v>2731</v>
      </c>
      <c r="AS354" t="s">
        <v>2732</v>
      </c>
      <c r="AT354" t="s">
        <v>2707</v>
      </c>
      <c r="AU354" s="642">
        <v>10986227</v>
      </c>
    </row>
    <row r="355" spans="43:47" ht="12.9" x14ac:dyDescent="0.35">
      <c r="AQ355" s="641">
        <v>2777</v>
      </c>
      <c r="AR355" t="s">
        <v>2733</v>
      </c>
      <c r="AS355" t="s">
        <v>2734</v>
      </c>
      <c r="AT355" t="s">
        <v>2707</v>
      </c>
      <c r="AU355" s="642">
        <v>3286885</v>
      </c>
    </row>
    <row r="356" spans="43:47" ht="12.9" x14ac:dyDescent="0.35">
      <c r="AQ356" s="641">
        <v>2781</v>
      </c>
      <c r="AR356" t="s">
        <v>2735</v>
      </c>
      <c r="AS356" t="s">
        <v>2736</v>
      </c>
      <c r="AT356" t="s">
        <v>2707</v>
      </c>
      <c r="AU356" s="642">
        <v>7942918</v>
      </c>
    </row>
    <row r="357" spans="43:47" ht="12.9" x14ac:dyDescent="0.35">
      <c r="AQ357" s="641">
        <v>2793</v>
      </c>
      <c r="AR357" t="s">
        <v>2737</v>
      </c>
      <c r="AS357" t="s">
        <v>2738</v>
      </c>
      <c r="AT357" t="s">
        <v>2707</v>
      </c>
      <c r="AU357" s="642">
        <v>3898099</v>
      </c>
    </row>
    <row r="358" spans="43:47" ht="12.9" x14ac:dyDescent="0.35">
      <c r="AQ358" s="641">
        <v>2805</v>
      </c>
      <c r="AR358" t="s">
        <v>2739</v>
      </c>
      <c r="AS358" t="s">
        <v>2740</v>
      </c>
      <c r="AT358" t="s">
        <v>2707</v>
      </c>
      <c r="AU358" s="642">
        <v>5917522</v>
      </c>
    </row>
    <row r="359" spans="43:47" ht="12.9" x14ac:dyDescent="0.35">
      <c r="AQ359" s="641">
        <v>2817</v>
      </c>
      <c r="AR359" t="s">
        <v>2741</v>
      </c>
      <c r="AS359" t="s">
        <v>2742</v>
      </c>
      <c r="AT359" t="s">
        <v>2707</v>
      </c>
      <c r="AU359" s="642">
        <v>8263305</v>
      </c>
    </row>
    <row r="360" spans="43:47" ht="12.9" x14ac:dyDescent="0.35">
      <c r="AQ360" s="641">
        <v>2825</v>
      </c>
      <c r="AR360" t="s">
        <v>2743</v>
      </c>
      <c r="AS360" t="s">
        <v>2569</v>
      </c>
      <c r="AT360" t="s">
        <v>2707</v>
      </c>
      <c r="AU360" s="642">
        <v>6386030</v>
      </c>
    </row>
    <row r="361" spans="43:47" ht="12.9" x14ac:dyDescent="0.35">
      <c r="AQ361" s="641">
        <v>2829</v>
      </c>
      <c r="AR361" t="s">
        <v>2744</v>
      </c>
      <c r="AS361" t="s">
        <v>2745</v>
      </c>
      <c r="AT361" t="s">
        <v>2707</v>
      </c>
      <c r="AU361" s="642">
        <v>1334866</v>
      </c>
    </row>
    <row r="362" spans="43:47" ht="12.9" x14ac:dyDescent="0.35">
      <c r="AQ362" s="641">
        <v>2833</v>
      </c>
      <c r="AR362" t="s">
        <v>2746</v>
      </c>
      <c r="AS362" t="s">
        <v>2747</v>
      </c>
      <c r="AT362" t="s">
        <v>2707</v>
      </c>
      <c r="AU362" s="642">
        <v>2823977</v>
      </c>
    </row>
    <row r="363" spans="43:47" ht="12.9" x14ac:dyDescent="0.35">
      <c r="AQ363" s="641">
        <v>2837</v>
      </c>
      <c r="AR363" t="s">
        <v>2748</v>
      </c>
      <c r="AS363" t="s">
        <v>2749</v>
      </c>
      <c r="AT363" t="s">
        <v>2707</v>
      </c>
      <c r="AU363" s="642">
        <v>15817908</v>
      </c>
    </row>
    <row r="364" spans="43:47" ht="12.9" x14ac:dyDescent="0.35">
      <c r="AQ364" s="641">
        <v>2841</v>
      </c>
      <c r="AR364" t="s">
        <v>2750</v>
      </c>
      <c r="AS364" t="s">
        <v>2751</v>
      </c>
      <c r="AT364" t="s">
        <v>2707</v>
      </c>
      <c r="AU364" s="642">
        <v>1921439</v>
      </c>
    </row>
    <row r="365" spans="43:47" ht="12.9" x14ac:dyDescent="0.35">
      <c r="AQ365" s="641">
        <v>2849</v>
      </c>
      <c r="AR365" t="s">
        <v>2752</v>
      </c>
      <c r="AS365" t="s">
        <v>2420</v>
      </c>
      <c r="AT365" t="s">
        <v>2707</v>
      </c>
      <c r="AU365" s="642">
        <v>19704555</v>
      </c>
    </row>
    <row r="366" spans="43:47" ht="12.9" x14ac:dyDescent="0.35">
      <c r="AQ366" s="641">
        <v>2857</v>
      </c>
      <c r="AR366" t="s">
        <v>2753</v>
      </c>
      <c r="AS366" t="s">
        <v>2754</v>
      </c>
      <c r="AT366" t="s">
        <v>2707</v>
      </c>
      <c r="AU366" s="642">
        <v>6734724</v>
      </c>
    </row>
    <row r="367" spans="43:47" ht="12.9" x14ac:dyDescent="0.35">
      <c r="AQ367" s="641">
        <v>2861</v>
      </c>
      <c r="AR367" t="s">
        <v>2755</v>
      </c>
      <c r="AS367" t="s">
        <v>2756</v>
      </c>
      <c r="AT367" t="s">
        <v>2707</v>
      </c>
      <c r="AU367" s="642">
        <v>23734241</v>
      </c>
    </row>
    <row r="368" spans="43:47" ht="12.9" x14ac:dyDescent="0.35">
      <c r="AQ368" s="641">
        <v>2865</v>
      </c>
      <c r="AR368" t="s">
        <v>2757</v>
      </c>
      <c r="AS368" t="s">
        <v>2758</v>
      </c>
      <c r="AT368" t="s">
        <v>2707</v>
      </c>
      <c r="AU368" s="642">
        <v>1841211</v>
      </c>
    </row>
    <row r="369" spans="43:47" ht="12.9" x14ac:dyDescent="0.35">
      <c r="AQ369" s="641">
        <v>2869</v>
      </c>
      <c r="AR369" t="s">
        <v>2759</v>
      </c>
      <c r="AS369" t="s">
        <v>2760</v>
      </c>
      <c r="AT369" t="s">
        <v>2707</v>
      </c>
      <c r="AU369" s="642">
        <v>3506143</v>
      </c>
    </row>
    <row r="370" spans="43:47" ht="12.9" x14ac:dyDescent="0.35">
      <c r="AQ370" s="641">
        <v>2885</v>
      </c>
      <c r="AR370" t="s">
        <v>2761</v>
      </c>
      <c r="AS370" t="s">
        <v>2424</v>
      </c>
      <c r="AT370" t="s">
        <v>2707</v>
      </c>
      <c r="AU370" s="642">
        <v>10704318</v>
      </c>
    </row>
    <row r="371" spans="43:47" ht="12.9" x14ac:dyDescent="0.35">
      <c r="AQ371" s="641">
        <v>2901</v>
      </c>
      <c r="AR371" t="s">
        <v>2762</v>
      </c>
      <c r="AS371" t="s">
        <v>2763</v>
      </c>
      <c r="AT371" t="s">
        <v>2707</v>
      </c>
      <c r="AU371" s="642">
        <v>2705868</v>
      </c>
    </row>
    <row r="372" spans="43:47" ht="12.9" x14ac:dyDescent="0.35">
      <c r="AQ372" s="641">
        <v>2909</v>
      </c>
      <c r="AR372" t="s">
        <v>2764</v>
      </c>
      <c r="AS372" t="s">
        <v>2765</v>
      </c>
      <c r="AT372" t="s">
        <v>2707</v>
      </c>
      <c r="AU372" s="642">
        <v>15728112</v>
      </c>
    </row>
    <row r="373" spans="43:47" ht="12.9" x14ac:dyDescent="0.35">
      <c r="AQ373" s="641">
        <v>2923</v>
      </c>
      <c r="AR373" t="s">
        <v>2766</v>
      </c>
      <c r="AS373" t="s">
        <v>2767</v>
      </c>
      <c r="AT373" t="s">
        <v>2768</v>
      </c>
      <c r="AU373" s="642">
        <v>3122143</v>
      </c>
    </row>
    <row r="374" spans="43:47" ht="12.9" x14ac:dyDescent="0.35">
      <c r="AQ374" s="641">
        <v>2929</v>
      </c>
      <c r="AR374" t="s">
        <v>2769</v>
      </c>
      <c r="AS374" t="s">
        <v>2770</v>
      </c>
      <c r="AT374" t="s">
        <v>2768</v>
      </c>
      <c r="AU374" s="642">
        <v>6733505</v>
      </c>
    </row>
    <row r="375" spans="43:47" ht="12.9" x14ac:dyDescent="0.35">
      <c r="AQ375" s="641">
        <v>2933</v>
      </c>
      <c r="AR375" t="s">
        <v>2771</v>
      </c>
      <c r="AS375" t="s">
        <v>2772</v>
      </c>
      <c r="AT375" t="s">
        <v>2768</v>
      </c>
      <c r="AU375" s="642">
        <v>429043</v>
      </c>
    </row>
    <row r="376" spans="43:47" ht="12.9" x14ac:dyDescent="0.35">
      <c r="AQ376" s="641">
        <v>2937</v>
      </c>
      <c r="AR376" t="s">
        <v>2773</v>
      </c>
      <c r="AS376" t="s">
        <v>2774</v>
      </c>
      <c r="AT376" t="s">
        <v>2768</v>
      </c>
      <c r="AU376" s="642">
        <v>2470842</v>
      </c>
    </row>
    <row r="377" spans="43:47" ht="12.9" x14ac:dyDescent="0.35">
      <c r="AQ377" s="641">
        <v>2941</v>
      </c>
      <c r="AR377" t="s">
        <v>2775</v>
      </c>
      <c r="AS377" t="s">
        <v>2776</v>
      </c>
      <c r="AT377" t="s">
        <v>2768</v>
      </c>
      <c r="AU377" s="642">
        <v>1316666</v>
      </c>
    </row>
    <row r="378" spans="43:47" ht="12.9" x14ac:dyDescent="0.35">
      <c r="AQ378" s="641">
        <v>2945</v>
      </c>
      <c r="AR378" t="s">
        <v>2777</v>
      </c>
      <c r="AS378" t="s">
        <v>2778</v>
      </c>
      <c r="AT378" t="s">
        <v>2768</v>
      </c>
      <c r="AU378" s="642">
        <v>2001479</v>
      </c>
    </row>
    <row r="379" spans="43:47" ht="12.9" x14ac:dyDescent="0.35">
      <c r="AQ379" s="641">
        <v>2953</v>
      </c>
      <c r="AR379" t="s">
        <v>2779</v>
      </c>
      <c r="AS379" t="s">
        <v>2780</v>
      </c>
      <c r="AT379" t="s">
        <v>2768</v>
      </c>
      <c r="AU379" s="642">
        <v>36471740</v>
      </c>
    </row>
    <row r="380" spans="43:47" ht="12.9" x14ac:dyDescent="0.35">
      <c r="AQ380" s="641">
        <v>3012</v>
      </c>
      <c r="AR380" t="s">
        <v>2781</v>
      </c>
      <c r="AS380" t="s">
        <v>2782</v>
      </c>
      <c r="AT380" t="s">
        <v>2768</v>
      </c>
      <c r="AU380" s="642">
        <v>1076135</v>
      </c>
    </row>
    <row r="381" spans="43:47" ht="12.9" x14ac:dyDescent="0.35">
      <c r="AQ381" s="641">
        <v>3017</v>
      </c>
      <c r="AR381" t="s">
        <v>2783</v>
      </c>
      <c r="AS381" t="s">
        <v>2784</v>
      </c>
      <c r="AT381" t="s">
        <v>2768</v>
      </c>
      <c r="AU381" s="642">
        <v>5673058</v>
      </c>
    </row>
    <row r="382" spans="43:47" ht="12.9" x14ac:dyDescent="0.35">
      <c r="AQ382" s="641">
        <v>3019</v>
      </c>
      <c r="AR382" t="s">
        <v>2785</v>
      </c>
      <c r="AS382" t="s">
        <v>2786</v>
      </c>
      <c r="AT382" t="s">
        <v>2768</v>
      </c>
      <c r="AU382" s="642">
        <v>20740390</v>
      </c>
    </row>
    <row r="383" spans="43:47" ht="12.9" x14ac:dyDescent="0.35">
      <c r="AQ383" s="641">
        <v>3023</v>
      </c>
      <c r="AR383" t="s">
        <v>2787</v>
      </c>
      <c r="AS383" t="s">
        <v>2788</v>
      </c>
      <c r="AT383" t="s">
        <v>2768</v>
      </c>
      <c r="AU383" s="642">
        <v>191046</v>
      </c>
    </row>
    <row r="384" spans="43:47" ht="12.9" x14ac:dyDescent="0.35">
      <c r="AQ384" s="641">
        <v>3037</v>
      </c>
      <c r="AR384" t="s">
        <v>2789</v>
      </c>
      <c r="AS384" t="s">
        <v>2790</v>
      </c>
      <c r="AT384" t="s">
        <v>2768</v>
      </c>
      <c r="AU384" s="642">
        <v>1497666</v>
      </c>
    </row>
    <row r="385" spans="43:47" ht="12.9" x14ac:dyDescent="0.35">
      <c r="AQ385" s="641">
        <v>3041</v>
      </c>
      <c r="AR385" t="s">
        <v>2791</v>
      </c>
      <c r="AS385" t="s">
        <v>2792</v>
      </c>
      <c r="AT385" t="s">
        <v>2768</v>
      </c>
      <c r="AU385" s="642">
        <v>530086</v>
      </c>
    </row>
    <row r="386" spans="43:47" ht="12.9" x14ac:dyDescent="0.35">
      <c r="AQ386" s="641">
        <v>3050</v>
      </c>
      <c r="AR386" t="s">
        <v>2793</v>
      </c>
      <c r="AS386" t="s">
        <v>2794</v>
      </c>
      <c r="AT386" t="s">
        <v>2768</v>
      </c>
      <c r="AU386" s="642">
        <v>1182173</v>
      </c>
    </row>
    <row r="387" spans="43:47" ht="12.9" x14ac:dyDescent="0.35">
      <c r="AQ387" s="641">
        <v>3053</v>
      </c>
      <c r="AR387" t="s">
        <v>2795</v>
      </c>
      <c r="AS387" t="s">
        <v>2796</v>
      </c>
      <c r="AT387" t="s">
        <v>2768</v>
      </c>
      <c r="AU387" s="642">
        <v>1933512</v>
      </c>
    </row>
    <row r="388" spans="43:47" ht="12.9" x14ac:dyDescent="0.35">
      <c r="AQ388" s="641">
        <v>3057</v>
      </c>
      <c r="AR388" t="s">
        <v>2797</v>
      </c>
      <c r="AS388" t="s">
        <v>2798</v>
      </c>
      <c r="AT388" t="s">
        <v>2768</v>
      </c>
      <c r="AU388" s="642">
        <v>5305787</v>
      </c>
    </row>
    <row r="389" spans="43:47" ht="12.9" x14ac:dyDescent="0.35">
      <c r="AQ389" s="641">
        <v>3065</v>
      </c>
      <c r="AR389" t="s">
        <v>2799</v>
      </c>
      <c r="AS389" t="s">
        <v>2800</v>
      </c>
      <c r="AT389" t="s">
        <v>2768</v>
      </c>
      <c r="AU389" s="642">
        <v>10782495</v>
      </c>
    </row>
    <row r="390" spans="43:47" ht="12.9" x14ac:dyDescent="0.35">
      <c r="AQ390" s="641">
        <v>3073</v>
      </c>
      <c r="AR390" t="s">
        <v>2801</v>
      </c>
      <c r="AS390" t="s">
        <v>2802</v>
      </c>
      <c r="AT390" t="s">
        <v>2768</v>
      </c>
      <c r="AU390" s="642">
        <v>1522053</v>
      </c>
    </row>
    <row r="391" spans="43:47" ht="12.9" x14ac:dyDescent="0.35">
      <c r="AQ391" s="641">
        <v>3085</v>
      </c>
      <c r="AR391" t="s">
        <v>2803</v>
      </c>
      <c r="AS391" t="s">
        <v>2648</v>
      </c>
      <c r="AT391" t="s">
        <v>2768</v>
      </c>
      <c r="AU391" s="642">
        <v>2032043</v>
      </c>
    </row>
    <row r="392" spans="43:47" ht="12.9" x14ac:dyDescent="0.35">
      <c r="AQ392" s="641">
        <v>3089</v>
      </c>
      <c r="AR392" t="s">
        <v>2804</v>
      </c>
      <c r="AS392" t="s">
        <v>2805</v>
      </c>
      <c r="AT392" t="s">
        <v>2768</v>
      </c>
      <c r="AU392" s="642">
        <v>2307776</v>
      </c>
    </row>
    <row r="393" spans="43:47" ht="12.9" x14ac:dyDescent="0.35">
      <c r="AQ393" s="641">
        <v>3093</v>
      </c>
      <c r="AR393" t="s">
        <v>2806</v>
      </c>
      <c r="AS393" t="s">
        <v>2807</v>
      </c>
      <c r="AT393" t="s">
        <v>2768</v>
      </c>
      <c r="AU393" s="642">
        <v>2000564</v>
      </c>
    </row>
    <row r="394" spans="43:47" ht="12.9" x14ac:dyDescent="0.35">
      <c r="AQ394" s="641">
        <v>3097</v>
      </c>
      <c r="AR394" t="s">
        <v>2808</v>
      </c>
      <c r="AS394" t="s">
        <v>2809</v>
      </c>
      <c r="AT394" t="s">
        <v>2768</v>
      </c>
      <c r="AU394" s="642">
        <v>743634</v>
      </c>
    </row>
    <row r="395" spans="43:47" ht="12.9" x14ac:dyDescent="0.35">
      <c r="AQ395" s="641">
        <v>3113</v>
      </c>
      <c r="AR395" t="s">
        <v>2810</v>
      </c>
      <c r="AS395" t="s">
        <v>2811</v>
      </c>
      <c r="AT395" t="s">
        <v>2768</v>
      </c>
      <c r="AU395" s="642">
        <v>2172292</v>
      </c>
    </row>
    <row r="396" spans="43:47" ht="12.9" x14ac:dyDescent="0.35">
      <c r="AQ396" s="641">
        <v>3117</v>
      </c>
      <c r="AR396" t="s">
        <v>2812</v>
      </c>
      <c r="AS396" t="s">
        <v>2813</v>
      </c>
      <c r="AT396" t="s">
        <v>2768</v>
      </c>
      <c r="AU396" s="642">
        <v>2691358</v>
      </c>
    </row>
    <row r="397" spans="43:47" ht="12.9" x14ac:dyDescent="0.35">
      <c r="AQ397" s="641">
        <v>3123</v>
      </c>
      <c r="AR397" t="s">
        <v>2814</v>
      </c>
      <c r="AS397" t="s">
        <v>2815</v>
      </c>
      <c r="AT397" t="s">
        <v>2768</v>
      </c>
      <c r="AU397" s="642">
        <v>1506911</v>
      </c>
    </row>
    <row r="398" spans="43:47" ht="12.9" x14ac:dyDescent="0.35">
      <c r="AQ398" s="641">
        <v>3124</v>
      </c>
      <c r="AR398" t="s">
        <v>2816</v>
      </c>
      <c r="AS398" t="s">
        <v>2291</v>
      </c>
      <c r="AT398" t="s">
        <v>2768</v>
      </c>
      <c r="AU398" s="642">
        <v>2413920</v>
      </c>
    </row>
    <row r="399" spans="43:47" ht="12.9" x14ac:dyDescent="0.35">
      <c r="AQ399" s="641">
        <v>3127</v>
      </c>
      <c r="AR399" t="s">
        <v>2817</v>
      </c>
      <c r="AS399" t="s">
        <v>2818</v>
      </c>
      <c r="AT399" t="s">
        <v>2819</v>
      </c>
      <c r="AU399" s="642">
        <v>643623</v>
      </c>
    </row>
    <row r="400" spans="43:47" ht="12.9" x14ac:dyDescent="0.35">
      <c r="AQ400" s="641">
        <v>3131</v>
      </c>
      <c r="AR400" t="s">
        <v>2820</v>
      </c>
      <c r="AS400" t="s">
        <v>2821</v>
      </c>
      <c r="AT400" t="s">
        <v>2819</v>
      </c>
      <c r="AU400" s="642">
        <v>1420439</v>
      </c>
    </row>
    <row r="401" spans="43:47" ht="12.9" x14ac:dyDescent="0.35">
      <c r="AQ401" s="641">
        <v>3135</v>
      </c>
      <c r="AR401" t="s">
        <v>2822</v>
      </c>
      <c r="AS401" t="s">
        <v>2823</v>
      </c>
      <c r="AT401" t="s">
        <v>2819</v>
      </c>
      <c r="AU401" s="642">
        <v>1374349</v>
      </c>
    </row>
    <row r="402" spans="43:47" ht="12.9" x14ac:dyDescent="0.35">
      <c r="AQ402" s="641">
        <v>3139</v>
      </c>
      <c r="AR402" t="s">
        <v>2824</v>
      </c>
      <c r="AS402" t="s">
        <v>2825</v>
      </c>
      <c r="AT402" t="s">
        <v>2819</v>
      </c>
      <c r="AU402" s="642">
        <v>4604183</v>
      </c>
    </row>
    <row r="403" spans="43:47" ht="12.9" x14ac:dyDescent="0.35">
      <c r="AQ403" s="641">
        <v>3143</v>
      </c>
      <c r="AR403" t="s">
        <v>2826</v>
      </c>
      <c r="AS403" t="s">
        <v>2827</v>
      </c>
      <c r="AT403" t="s">
        <v>2819</v>
      </c>
      <c r="AU403" s="642">
        <v>1018979</v>
      </c>
    </row>
    <row r="404" spans="43:47" ht="12.9" x14ac:dyDescent="0.35">
      <c r="AQ404" s="641">
        <v>3145</v>
      </c>
      <c r="AR404" t="s">
        <v>2828</v>
      </c>
      <c r="AS404" t="s">
        <v>2786</v>
      </c>
      <c r="AT404" t="s">
        <v>2819</v>
      </c>
      <c r="AU404" s="642">
        <v>1747627</v>
      </c>
    </row>
    <row r="405" spans="43:47" ht="12.9" x14ac:dyDescent="0.35">
      <c r="AQ405" s="641">
        <v>3146</v>
      </c>
      <c r="AR405" t="s">
        <v>2829</v>
      </c>
      <c r="AS405" t="s">
        <v>2830</v>
      </c>
      <c r="AT405" t="s">
        <v>2819</v>
      </c>
      <c r="AU405" s="642">
        <v>1727371</v>
      </c>
    </row>
    <row r="406" spans="43:47" ht="12.9" x14ac:dyDescent="0.35">
      <c r="AQ406" s="641">
        <v>3147</v>
      </c>
      <c r="AR406" t="s">
        <v>2831</v>
      </c>
      <c r="AS406" t="s">
        <v>2832</v>
      </c>
      <c r="AT406" t="s">
        <v>2819</v>
      </c>
      <c r="AU406" s="642">
        <v>2809451</v>
      </c>
    </row>
    <row r="407" spans="43:47" ht="12.9" x14ac:dyDescent="0.35">
      <c r="AQ407" s="641">
        <v>3149</v>
      </c>
      <c r="AR407" t="s">
        <v>2833</v>
      </c>
      <c r="AS407" t="s">
        <v>2834</v>
      </c>
      <c r="AT407" t="s">
        <v>2819</v>
      </c>
      <c r="AU407" s="642">
        <v>796062</v>
      </c>
    </row>
    <row r="408" spans="43:47" ht="12.9" x14ac:dyDescent="0.35">
      <c r="AQ408" s="641">
        <v>3151</v>
      </c>
      <c r="AR408" t="s">
        <v>2835</v>
      </c>
      <c r="AS408" t="s">
        <v>2836</v>
      </c>
      <c r="AT408" t="s">
        <v>2819</v>
      </c>
      <c r="AU408" s="642">
        <v>53871943</v>
      </c>
    </row>
    <row r="409" spans="43:47" ht="12.9" x14ac:dyDescent="0.35">
      <c r="AQ409" s="641">
        <v>3176</v>
      </c>
      <c r="AR409" t="s">
        <v>2837</v>
      </c>
      <c r="AS409" t="s">
        <v>2838</v>
      </c>
      <c r="AT409" t="s">
        <v>2819</v>
      </c>
      <c r="AU409" s="642">
        <v>1361913</v>
      </c>
    </row>
    <row r="410" spans="43:47" ht="12.9" x14ac:dyDescent="0.35">
      <c r="AQ410" s="641">
        <v>3193</v>
      </c>
      <c r="AR410" t="s">
        <v>2839</v>
      </c>
      <c r="AS410" t="s">
        <v>2840</v>
      </c>
      <c r="AT410" t="s">
        <v>2819</v>
      </c>
      <c r="AU410" s="642">
        <v>1907182</v>
      </c>
    </row>
    <row r="411" spans="43:47" ht="12.9" x14ac:dyDescent="0.35">
      <c r="AQ411" s="641">
        <v>3197</v>
      </c>
      <c r="AR411" t="s">
        <v>2841</v>
      </c>
      <c r="AS411" t="s">
        <v>2842</v>
      </c>
      <c r="AT411" t="s">
        <v>2819</v>
      </c>
      <c r="AU411" s="642">
        <v>2986231</v>
      </c>
    </row>
    <row r="412" spans="43:47" ht="12.9" x14ac:dyDescent="0.35">
      <c r="AQ412" s="641">
        <v>3198</v>
      </c>
      <c r="AR412" t="s">
        <v>2843</v>
      </c>
      <c r="AS412" t="s">
        <v>2844</v>
      </c>
      <c r="AT412" t="s">
        <v>2819</v>
      </c>
      <c r="AU412" s="642">
        <v>779018</v>
      </c>
    </row>
    <row r="413" spans="43:47" ht="12.9" x14ac:dyDescent="0.35">
      <c r="AQ413" s="641">
        <v>3199</v>
      </c>
      <c r="AR413" t="s">
        <v>2845</v>
      </c>
      <c r="AS413" t="s">
        <v>2846</v>
      </c>
      <c r="AT413" t="s">
        <v>2819</v>
      </c>
      <c r="AU413" s="642">
        <v>1308403</v>
      </c>
    </row>
    <row r="414" spans="43:47" ht="12.9" x14ac:dyDescent="0.35">
      <c r="AQ414" s="641">
        <v>3201</v>
      </c>
      <c r="AR414" t="s">
        <v>2847</v>
      </c>
      <c r="AS414" t="s">
        <v>2836</v>
      </c>
      <c r="AT414" t="s">
        <v>2819</v>
      </c>
      <c r="AU414" s="642">
        <v>46227677</v>
      </c>
    </row>
    <row r="415" spans="43:47" ht="12.9" x14ac:dyDescent="0.35">
      <c r="AQ415" s="641">
        <v>3241</v>
      </c>
      <c r="AR415" t="s">
        <v>2848</v>
      </c>
      <c r="AS415" t="s">
        <v>2849</v>
      </c>
      <c r="AT415" t="s">
        <v>2819</v>
      </c>
      <c r="AU415" s="642">
        <v>547945</v>
      </c>
    </row>
    <row r="416" spans="43:47" ht="12.9" x14ac:dyDescent="0.35">
      <c r="AQ416" s="641">
        <v>3245</v>
      </c>
      <c r="AR416" t="s">
        <v>2850</v>
      </c>
      <c r="AS416" t="s">
        <v>2851</v>
      </c>
      <c r="AT416" t="s">
        <v>2819</v>
      </c>
      <c r="AU416" s="642">
        <v>1453098</v>
      </c>
    </row>
    <row r="417" spans="43:47" ht="12.9" x14ac:dyDescent="0.35">
      <c r="AQ417" s="641">
        <v>3247</v>
      </c>
      <c r="AR417" t="s">
        <v>2852</v>
      </c>
      <c r="AS417" t="s">
        <v>389</v>
      </c>
      <c r="AT417" t="s">
        <v>2819</v>
      </c>
      <c r="AU417" s="642">
        <v>95327</v>
      </c>
    </row>
    <row r="418" spans="43:47" ht="12.9" x14ac:dyDescent="0.35">
      <c r="AQ418" s="641">
        <v>3249</v>
      </c>
      <c r="AR418" t="s">
        <v>2853</v>
      </c>
      <c r="AS418" t="s">
        <v>2295</v>
      </c>
      <c r="AT418" t="s">
        <v>2854</v>
      </c>
      <c r="AU418" s="642">
        <v>1616940</v>
      </c>
    </row>
    <row r="419" spans="43:47" ht="12.9" x14ac:dyDescent="0.35">
      <c r="AQ419" s="641">
        <v>3251</v>
      </c>
      <c r="AR419" t="s">
        <v>2855</v>
      </c>
      <c r="AS419" t="s">
        <v>2856</v>
      </c>
      <c r="AT419" t="s">
        <v>2819</v>
      </c>
      <c r="AU419" s="642">
        <v>129485</v>
      </c>
    </row>
    <row r="420" spans="43:47" ht="12.9" x14ac:dyDescent="0.35">
      <c r="AQ420" s="641">
        <v>3257</v>
      </c>
      <c r="AR420" t="s">
        <v>2857</v>
      </c>
      <c r="AS420" t="s">
        <v>2858</v>
      </c>
      <c r="AT420" t="s">
        <v>2854</v>
      </c>
      <c r="AU420" s="642">
        <v>1175129</v>
      </c>
    </row>
    <row r="421" spans="43:47" ht="12.9" x14ac:dyDescent="0.35">
      <c r="AQ421" s="641">
        <v>3269</v>
      </c>
      <c r="AR421" t="s">
        <v>2859</v>
      </c>
      <c r="AS421" t="s">
        <v>2860</v>
      </c>
      <c r="AT421" t="s">
        <v>2854</v>
      </c>
      <c r="AU421" s="642">
        <v>2994735</v>
      </c>
    </row>
    <row r="422" spans="43:47" ht="12.9" x14ac:dyDescent="0.35">
      <c r="AQ422" s="641">
        <v>3271</v>
      </c>
      <c r="AR422" t="s">
        <v>2861</v>
      </c>
      <c r="AS422" t="s">
        <v>2862</v>
      </c>
      <c r="AT422" t="s">
        <v>2854</v>
      </c>
      <c r="AU422" s="642">
        <v>4137609</v>
      </c>
    </row>
    <row r="423" spans="43:47" ht="12.9" x14ac:dyDescent="0.35">
      <c r="AQ423" s="641">
        <v>3273</v>
      </c>
      <c r="AR423" t="s">
        <v>2863</v>
      </c>
      <c r="AS423" t="s">
        <v>2796</v>
      </c>
      <c r="AT423" t="s">
        <v>2854</v>
      </c>
      <c r="AU423" s="642">
        <v>8917962</v>
      </c>
    </row>
    <row r="424" spans="43:47" ht="12.9" x14ac:dyDescent="0.35">
      <c r="AQ424" s="641">
        <v>3309</v>
      </c>
      <c r="AR424" t="s">
        <v>2864</v>
      </c>
      <c r="AS424" t="s">
        <v>2865</v>
      </c>
      <c r="AT424" t="s">
        <v>2854</v>
      </c>
      <c r="AU424" s="642">
        <v>1190706</v>
      </c>
    </row>
    <row r="425" spans="43:47" ht="12.9" x14ac:dyDescent="0.35">
      <c r="AQ425" s="641">
        <v>3317</v>
      </c>
      <c r="AR425" t="s">
        <v>2866</v>
      </c>
      <c r="AS425" t="s">
        <v>2867</v>
      </c>
      <c r="AT425" t="s">
        <v>2868</v>
      </c>
      <c r="AU425" s="642">
        <v>101067</v>
      </c>
    </row>
    <row r="426" spans="43:47" ht="12.9" x14ac:dyDescent="0.35">
      <c r="AQ426" s="641">
        <v>3318</v>
      </c>
      <c r="AR426" t="s">
        <v>2869</v>
      </c>
      <c r="AS426" t="s">
        <v>2870</v>
      </c>
      <c r="AT426" t="s">
        <v>2868</v>
      </c>
      <c r="AU426" s="642">
        <v>479428</v>
      </c>
    </row>
    <row r="427" spans="43:47" ht="12.9" x14ac:dyDescent="0.35">
      <c r="AQ427" s="641">
        <v>3320</v>
      </c>
      <c r="AR427" t="s">
        <v>2871</v>
      </c>
      <c r="AS427" t="s">
        <v>2872</v>
      </c>
      <c r="AT427" t="s">
        <v>2868</v>
      </c>
      <c r="AU427" s="642">
        <v>1094954</v>
      </c>
    </row>
    <row r="428" spans="43:47" ht="12.9" x14ac:dyDescent="0.35">
      <c r="AQ428" s="641">
        <v>3321</v>
      </c>
      <c r="AR428" t="s">
        <v>2873</v>
      </c>
      <c r="AS428" t="s">
        <v>2874</v>
      </c>
      <c r="AT428" t="s">
        <v>2868</v>
      </c>
      <c r="AU428" s="642">
        <v>1407574</v>
      </c>
    </row>
    <row r="429" spans="43:47" ht="12.9" x14ac:dyDescent="0.35">
      <c r="AQ429" s="641">
        <v>3323</v>
      </c>
      <c r="AR429" t="s">
        <v>2875</v>
      </c>
      <c r="AS429" t="s">
        <v>2876</v>
      </c>
      <c r="AT429" t="s">
        <v>2868</v>
      </c>
      <c r="AU429" s="642">
        <v>4756134</v>
      </c>
    </row>
    <row r="430" spans="43:47" ht="12.9" x14ac:dyDescent="0.35">
      <c r="AQ430" s="641">
        <v>3325</v>
      </c>
      <c r="AR430" t="s">
        <v>2877</v>
      </c>
      <c r="AS430" t="s">
        <v>2878</v>
      </c>
      <c r="AT430" t="s">
        <v>2868</v>
      </c>
      <c r="AU430" s="642">
        <v>3182024</v>
      </c>
    </row>
    <row r="431" spans="43:47" ht="12.9" x14ac:dyDescent="0.35">
      <c r="AQ431" s="641">
        <v>3329</v>
      </c>
      <c r="AR431" t="s">
        <v>2879</v>
      </c>
      <c r="AS431" t="s">
        <v>2880</v>
      </c>
      <c r="AT431" t="s">
        <v>2868</v>
      </c>
      <c r="AU431" s="642">
        <v>44469368</v>
      </c>
    </row>
    <row r="432" spans="43:47" ht="12.9" x14ac:dyDescent="0.35">
      <c r="AQ432" s="641">
        <v>3350</v>
      </c>
      <c r="AR432" t="s">
        <v>2881</v>
      </c>
      <c r="AS432" t="s">
        <v>2838</v>
      </c>
      <c r="AT432" t="s">
        <v>2868</v>
      </c>
      <c r="AU432" s="642">
        <v>720225</v>
      </c>
    </row>
    <row r="433" spans="43:47" ht="12.9" x14ac:dyDescent="0.35">
      <c r="AQ433" s="641">
        <v>3351</v>
      </c>
      <c r="AR433" t="s">
        <v>2882</v>
      </c>
      <c r="AS433" t="s">
        <v>2883</v>
      </c>
      <c r="AT433" t="s">
        <v>2868</v>
      </c>
      <c r="AU433" s="642">
        <v>1236641</v>
      </c>
    </row>
    <row r="434" spans="43:47" ht="12.9" x14ac:dyDescent="0.35">
      <c r="AQ434" s="641">
        <v>3355</v>
      </c>
      <c r="AR434" t="s">
        <v>2884</v>
      </c>
      <c r="AS434" t="s">
        <v>2885</v>
      </c>
      <c r="AT434" t="s">
        <v>2868</v>
      </c>
      <c r="AU434" s="642">
        <v>1082479</v>
      </c>
    </row>
    <row r="435" spans="43:47" ht="12.9" x14ac:dyDescent="0.35">
      <c r="AQ435" s="641">
        <v>3373</v>
      </c>
      <c r="AR435" t="s">
        <v>2886</v>
      </c>
      <c r="AS435" t="s">
        <v>2887</v>
      </c>
      <c r="AT435" t="s">
        <v>2868</v>
      </c>
      <c r="AU435" s="642">
        <v>449862</v>
      </c>
    </row>
    <row r="436" spans="43:47" ht="12.9" x14ac:dyDescent="0.35">
      <c r="AQ436" s="641">
        <v>3376</v>
      </c>
      <c r="AR436" t="s">
        <v>2888</v>
      </c>
      <c r="AS436" t="s">
        <v>2889</v>
      </c>
      <c r="AT436" t="s">
        <v>2868</v>
      </c>
      <c r="AU436" s="642">
        <v>722094</v>
      </c>
    </row>
    <row r="437" spans="43:47" ht="12.9" x14ac:dyDescent="0.35">
      <c r="AQ437" s="641">
        <v>3377</v>
      </c>
      <c r="AR437" t="s">
        <v>2890</v>
      </c>
      <c r="AS437" t="s">
        <v>2891</v>
      </c>
      <c r="AT437" t="s">
        <v>2868</v>
      </c>
      <c r="AU437" s="642">
        <v>2454074</v>
      </c>
    </row>
    <row r="438" spans="43:47" ht="12.9" x14ac:dyDescent="0.35">
      <c r="AQ438" s="641">
        <v>3378</v>
      </c>
      <c r="AR438" t="s">
        <v>2892</v>
      </c>
      <c r="AS438" t="s">
        <v>2893</v>
      </c>
      <c r="AT438" t="s">
        <v>2868</v>
      </c>
      <c r="AU438" s="642">
        <v>645351</v>
      </c>
    </row>
    <row r="439" spans="43:47" ht="12.9" x14ac:dyDescent="0.35">
      <c r="AQ439" s="641">
        <v>3379</v>
      </c>
      <c r="AR439" t="s">
        <v>2894</v>
      </c>
      <c r="AS439" t="s">
        <v>2895</v>
      </c>
      <c r="AT439" t="s">
        <v>2868</v>
      </c>
      <c r="AU439" s="642">
        <v>432550</v>
      </c>
    </row>
    <row r="440" spans="43:47" ht="12.9" x14ac:dyDescent="0.35">
      <c r="AQ440" s="641">
        <v>3380</v>
      </c>
      <c r="AR440" t="s">
        <v>2896</v>
      </c>
      <c r="AS440" t="s">
        <v>2897</v>
      </c>
      <c r="AT440" t="s">
        <v>2868</v>
      </c>
      <c r="AU440" s="642">
        <v>806383</v>
      </c>
    </row>
    <row r="441" spans="43:47" ht="12.9" x14ac:dyDescent="0.35">
      <c r="AQ441" s="641">
        <v>3381</v>
      </c>
      <c r="AR441" t="s">
        <v>2898</v>
      </c>
      <c r="AS441" t="s">
        <v>2899</v>
      </c>
      <c r="AT441" t="s">
        <v>2868</v>
      </c>
      <c r="AU441" s="642">
        <v>54156191</v>
      </c>
    </row>
    <row r="442" spans="43:47" ht="12.9" x14ac:dyDescent="0.35">
      <c r="AQ442" s="641">
        <v>3392</v>
      </c>
      <c r="AR442" t="s">
        <v>2900</v>
      </c>
      <c r="AS442" t="s">
        <v>2901</v>
      </c>
      <c r="AT442" t="s">
        <v>2868</v>
      </c>
      <c r="AU442" s="642">
        <v>875067</v>
      </c>
    </row>
    <row r="443" spans="43:47" ht="12.9" x14ac:dyDescent="0.35">
      <c r="AQ443" s="641">
        <v>3431</v>
      </c>
      <c r="AR443" t="s">
        <v>2902</v>
      </c>
      <c r="AS443" t="s">
        <v>2903</v>
      </c>
      <c r="AT443" t="s">
        <v>2868</v>
      </c>
      <c r="AU443" s="642">
        <v>599174</v>
      </c>
    </row>
    <row r="444" spans="43:47" ht="12.9" x14ac:dyDescent="0.35">
      <c r="AQ444" s="641">
        <v>3440</v>
      </c>
      <c r="AR444" t="s">
        <v>2904</v>
      </c>
      <c r="AS444" t="s">
        <v>2905</v>
      </c>
      <c r="AT444" t="s">
        <v>2868</v>
      </c>
      <c r="AU444" s="642">
        <v>381415</v>
      </c>
    </row>
    <row r="445" spans="43:47" ht="12.9" x14ac:dyDescent="0.35">
      <c r="AQ445" s="641">
        <v>3441</v>
      </c>
      <c r="AR445" t="s">
        <v>2906</v>
      </c>
      <c r="AS445" t="s">
        <v>2907</v>
      </c>
      <c r="AT445" t="s">
        <v>2868</v>
      </c>
      <c r="AU445" s="642">
        <v>735858</v>
      </c>
    </row>
    <row r="446" spans="43:47" ht="12.9" x14ac:dyDescent="0.35">
      <c r="AQ446" s="641">
        <v>3443</v>
      </c>
      <c r="AR446" t="s">
        <v>2908</v>
      </c>
      <c r="AS446" t="s">
        <v>2424</v>
      </c>
      <c r="AT446" t="s">
        <v>2868</v>
      </c>
      <c r="AU446" s="642">
        <v>9048439</v>
      </c>
    </row>
    <row r="447" spans="43:47" ht="12.9" x14ac:dyDescent="0.35">
      <c r="AQ447" s="641">
        <v>3446</v>
      </c>
      <c r="AR447" t="s">
        <v>2909</v>
      </c>
      <c r="AS447" t="s">
        <v>2910</v>
      </c>
      <c r="AT447" t="s">
        <v>2868</v>
      </c>
      <c r="AU447" s="642">
        <v>1467506</v>
      </c>
    </row>
    <row r="448" spans="43:47" ht="12.9" x14ac:dyDescent="0.35">
      <c r="AQ448" s="641">
        <v>3447</v>
      </c>
      <c r="AR448" t="s">
        <v>2911</v>
      </c>
      <c r="AS448" t="s">
        <v>2912</v>
      </c>
      <c r="AT448" t="s">
        <v>2913</v>
      </c>
      <c r="AU448" s="642">
        <v>2689027</v>
      </c>
    </row>
    <row r="449" spans="43:47" ht="12.9" x14ac:dyDescent="0.35">
      <c r="AQ449" s="641">
        <v>3448</v>
      </c>
      <c r="AR449" t="s">
        <v>2914</v>
      </c>
      <c r="AS449" t="s">
        <v>2915</v>
      </c>
      <c r="AT449" t="s">
        <v>2868</v>
      </c>
      <c r="AU449" s="642">
        <v>433218</v>
      </c>
    </row>
    <row r="450" spans="43:47" ht="12.9" x14ac:dyDescent="0.35">
      <c r="AQ450" s="641">
        <v>3458</v>
      </c>
      <c r="AR450" t="s">
        <v>2916</v>
      </c>
      <c r="AS450" t="s">
        <v>2917</v>
      </c>
      <c r="AT450" t="s">
        <v>2913</v>
      </c>
      <c r="AU450" s="642">
        <v>573384</v>
      </c>
    </row>
    <row r="451" spans="43:47" ht="12.9" x14ac:dyDescent="0.35">
      <c r="AQ451" s="641">
        <v>3459</v>
      </c>
      <c r="AR451" t="s">
        <v>2918</v>
      </c>
      <c r="AS451" t="s">
        <v>2919</v>
      </c>
      <c r="AT451" t="s">
        <v>2913</v>
      </c>
      <c r="AU451" s="642">
        <v>1262080</v>
      </c>
    </row>
    <row r="452" spans="43:47" ht="12.9" x14ac:dyDescent="0.35">
      <c r="AQ452" s="641">
        <v>3461</v>
      </c>
      <c r="AR452" t="s">
        <v>2920</v>
      </c>
      <c r="AS452" t="s">
        <v>2921</v>
      </c>
      <c r="AT452" t="s">
        <v>2913</v>
      </c>
      <c r="AU452" s="642">
        <v>2851049</v>
      </c>
    </row>
    <row r="453" spans="43:47" ht="12.9" x14ac:dyDescent="0.35">
      <c r="AQ453" s="641">
        <v>3462</v>
      </c>
      <c r="AR453" t="s">
        <v>2922</v>
      </c>
      <c r="AS453" t="s">
        <v>2923</v>
      </c>
      <c r="AT453" t="s">
        <v>2913</v>
      </c>
      <c r="AU453" s="642">
        <v>192845</v>
      </c>
    </row>
    <row r="454" spans="43:47" ht="12.9" x14ac:dyDescent="0.35">
      <c r="AQ454" s="641">
        <v>3464</v>
      </c>
      <c r="AR454" t="s">
        <v>2924</v>
      </c>
      <c r="AS454" t="s">
        <v>2925</v>
      </c>
      <c r="AT454" t="s">
        <v>2578</v>
      </c>
      <c r="AU454" s="642">
        <v>245454</v>
      </c>
    </row>
    <row r="455" spans="43:47" ht="12.9" x14ac:dyDescent="0.35">
      <c r="AQ455" s="641">
        <v>3465</v>
      </c>
      <c r="AR455" t="s">
        <v>2926</v>
      </c>
      <c r="AS455" t="s">
        <v>2295</v>
      </c>
      <c r="AT455" t="s">
        <v>2578</v>
      </c>
      <c r="AU455" s="642">
        <v>952716</v>
      </c>
    </row>
    <row r="456" spans="43:47" ht="12.9" x14ac:dyDescent="0.35">
      <c r="AQ456" s="641">
        <v>3469</v>
      </c>
      <c r="AR456" t="s">
        <v>2927</v>
      </c>
      <c r="AS456" t="s">
        <v>2928</v>
      </c>
      <c r="AT456" t="s">
        <v>2578</v>
      </c>
      <c r="AU456" s="642">
        <v>2554527</v>
      </c>
    </row>
    <row r="457" spans="43:47" ht="12.9" x14ac:dyDescent="0.35">
      <c r="AQ457" s="641">
        <v>3470</v>
      </c>
      <c r="AR457" t="s">
        <v>2929</v>
      </c>
      <c r="AS457" t="s">
        <v>2930</v>
      </c>
      <c r="AT457" t="s">
        <v>2578</v>
      </c>
      <c r="AU457" s="642">
        <v>1650995</v>
      </c>
    </row>
    <row r="458" spans="43:47" ht="12.9" x14ac:dyDescent="0.35">
      <c r="AQ458" s="641">
        <v>3477</v>
      </c>
      <c r="AR458" t="s">
        <v>2931</v>
      </c>
      <c r="AS458" t="s">
        <v>2932</v>
      </c>
      <c r="AT458" t="s">
        <v>2578</v>
      </c>
      <c r="AU458" s="642">
        <v>1440372</v>
      </c>
    </row>
    <row r="459" spans="43:47" ht="12.9" x14ac:dyDescent="0.35">
      <c r="AQ459" s="641">
        <v>3481</v>
      </c>
      <c r="AR459" t="s">
        <v>2933</v>
      </c>
      <c r="AS459" t="s">
        <v>2772</v>
      </c>
      <c r="AT459" t="s">
        <v>2578</v>
      </c>
      <c r="AU459" s="642">
        <v>1713402</v>
      </c>
    </row>
    <row r="460" spans="43:47" ht="12.9" x14ac:dyDescent="0.35">
      <c r="AQ460" s="641">
        <v>3484</v>
      </c>
      <c r="AR460" t="s">
        <v>2934</v>
      </c>
      <c r="AS460" t="s">
        <v>2388</v>
      </c>
      <c r="AT460" t="s">
        <v>2578</v>
      </c>
      <c r="AU460" s="642">
        <v>8024085</v>
      </c>
    </row>
    <row r="461" spans="43:47" ht="12.9" x14ac:dyDescent="0.35">
      <c r="AQ461" s="641">
        <v>3490</v>
      </c>
      <c r="AR461" t="s">
        <v>2935</v>
      </c>
      <c r="AS461" t="s">
        <v>2936</v>
      </c>
      <c r="AT461" t="s">
        <v>2578</v>
      </c>
      <c r="AU461" s="642">
        <v>847534</v>
      </c>
    </row>
    <row r="462" spans="43:47" ht="12.9" x14ac:dyDescent="0.35">
      <c r="AQ462" s="641">
        <v>3501</v>
      </c>
      <c r="AR462" t="s">
        <v>2937</v>
      </c>
      <c r="AS462" t="s">
        <v>2938</v>
      </c>
      <c r="AT462" t="s">
        <v>2578</v>
      </c>
      <c r="AU462" s="642">
        <v>590629</v>
      </c>
    </row>
    <row r="463" spans="43:47" ht="12.9" x14ac:dyDescent="0.35">
      <c r="AQ463" s="641">
        <v>3505</v>
      </c>
      <c r="AR463" t="s">
        <v>2939</v>
      </c>
      <c r="AS463" t="s">
        <v>2940</v>
      </c>
      <c r="AT463" t="s">
        <v>2578</v>
      </c>
      <c r="AU463" s="642">
        <v>1764951</v>
      </c>
    </row>
    <row r="464" spans="43:47" ht="12.9" x14ac:dyDescent="0.35">
      <c r="AQ464" s="641">
        <v>3508</v>
      </c>
      <c r="AR464" t="s">
        <v>2941</v>
      </c>
      <c r="AS464" t="s">
        <v>2942</v>
      </c>
      <c r="AT464" t="s">
        <v>2578</v>
      </c>
      <c r="AU464" s="642">
        <v>1060113</v>
      </c>
    </row>
    <row r="465" spans="43:47" ht="12.9" x14ac:dyDescent="0.35">
      <c r="AQ465" s="641">
        <v>3509</v>
      </c>
      <c r="AR465" t="s">
        <v>2943</v>
      </c>
      <c r="AS465" t="s">
        <v>2944</v>
      </c>
      <c r="AT465" t="s">
        <v>2578</v>
      </c>
      <c r="AU465" s="642">
        <v>15683057</v>
      </c>
    </row>
    <row r="466" spans="43:47" ht="12.9" x14ac:dyDescent="0.35">
      <c r="AQ466" s="641">
        <v>3537</v>
      </c>
      <c r="AR466" t="s">
        <v>2945</v>
      </c>
      <c r="AS466" t="s">
        <v>2946</v>
      </c>
      <c r="AT466" t="s">
        <v>2578</v>
      </c>
      <c r="AU466" s="642">
        <v>1625732</v>
      </c>
    </row>
    <row r="467" spans="43:47" ht="12.9" x14ac:dyDescent="0.35">
      <c r="AQ467" s="641">
        <v>3541</v>
      </c>
      <c r="AR467" t="s">
        <v>2947</v>
      </c>
      <c r="AS467" t="s">
        <v>2948</v>
      </c>
      <c r="AT467" t="s">
        <v>2949</v>
      </c>
      <c r="AU467" s="642">
        <v>6373083</v>
      </c>
    </row>
    <row r="468" spans="43:47" ht="12.9" x14ac:dyDescent="0.35">
      <c r="AQ468" s="641">
        <v>3545</v>
      </c>
      <c r="AR468" t="s">
        <v>2950</v>
      </c>
      <c r="AS468" t="s">
        <v>2951</v>
      </c>
      <c r="AT468" t="s">
        <v>2949</v>
      </c>
      <c r="AU468" s="642">
        <v>1881532</v>
      </c>
    </row>
    <row r="469" spans="43:47" ht="12.9" x14ac:dyDescent="0.35">
      <c r="AQ469" s="641">
        <v>3558</v>
      </c>
      <c r="AR469" t="s">
        <v>2952</v>
      </c>
      <c r="AS469" t="s">
        <v>2953</v>
      </c>
      <c r="AT469" t="s">
        <v>2180</v>
      </c>
      <c r="AU469" s="642">
        <v>1550011</v>
      </c>
    </row>
    <row r="470" spans="43:47" ht="12.9" x14ac:dyDescent="0.35">
      <c r="AQ470" s="641">
        <v>3560</v>
      </c>
      <c r="AR470" t="s">
        <v>2954</v>
      </c>
      <c r="AS470" t="s">
        <v>2679</v>
      </c>
      <c r="AT470" t="s">
        <v>2180</v>
      </c>
      <c r="AU470" s="642">
        <v>117080</v>
      </c>
    </row>
    <row r="471" spans="43:47" ht="12.9" x14ac:dyDescent="0.35">
      <c r="AQ471" s="641">
        <v>3565</v>
      </c>
      <c r="AR471" t="s">
        <v>2955</v>
      </c>
      <c r="AS471" t="s">
        <v>2956</v>
      </c>
      <c r="AT471" t="s">
        <v>2180</v>
      </c>
      <c r="AU471" s="642">
        <v>1545138</v>
      </c>
    </row>
    <row r="472" spans="43:47" ht="12.9" x14ac:dyDescent="0.35">
      <c r="AQ472" s="641">
        <v>3569</v>
      </c>
      <c r="AR472" t="s">
        <v>2957</v>
      </c>
      <c r="AS472" t="s">
        <v>2958</v>
      </c>
      <c r="AT472" t="s">
        <v>2180</v>
      </c>
      <c r="AU472" s="642">
        <v>1487170</v>
      </c>
    </row>
    <row r="473" spans="43:47" ht="12.9" x14ac:dyDescent="0.35">
      <c r="AQ473" s="641">
        <v>3573</v>
      </c>
      <c r="AR473" t="s">
        <v>2959</v>
      </c>
      <c r="AS473" t="s">
        <v>2960</v>
      </c>
      <c r="AT473" t="s">
        <v>2180</v>
      </c>
      <c r="AU473" s="642">
        <v>2249553</v>
      </c>
    </row>
    <row r="474" spans="43:47" ht="12.9" x14ac:dyDescent="0.35">
      <c r="AQ474" s="641">
        <v>3577</v>
      </c>
      <c r="AR474" t="s">
        <v>2961</v>
      </c>
      <c r="AS474" t="s">
        <v>2962</v>
      </c>
      <c r="AT474" t="s">
        <v>2180</v>
      </c>
      <c r="AU474" s="642">
        <v>1526706</v>
      </c>
    </row>
    <row r="475" spans="43:47" ht="12.9" x14ac:dyDescent="0.35">
      <c r="AQ475" s="641">
        <v>3585</v>
      </c>
      <c r="AR475" t="s">
        <v>2963</v>
      </c>
      <c r="AS475" t="s">
        <v>2964</v>
      </c>
      <c r="AT475" t="s">
        <v>2180</v>
      </c>
      <c r="AU475" s="642">
        <v>9142666</v>
      </c>
    </row>
    <row r="476" spans="43:47" ht="12.9" x14ac:dyDescent="0.35">
      <c r="AQ476" s="641">
        <v>3589</v>
      </c>
      <c r="AR476" t="s">
        <v>2965</v>
      </c>
      <c r="AS476" t="s">
        <v>2966</v>
      </c>
      <c r="AT476" t="s">
        <v>2180</v>
      </c>
      <c r="AU476" s="642">
        <v>5709095</v>
      </c>
    </row>
    <row r="477" spans="43:47" ht="12.9" x14ac:dyDescent="0.35">
      <c r="AQ477" s="641">
        <v>3597</v>
      </c>
      <c r="AR477" t="s">
        <v>2967</v>
      </c>
      <c r="AS477" t="s">
        <v>2968</v>
      </c>
      <c r="AT477" t="s">
        <v>2180</v>
      </c>
      <c r="AU477" s="642">
        <v>1296984</v>
      </c>
    </row>
    <row r="478" spans="43:47" ht="12.9" x14ac:dyDescent="0.35">
      <c r="AQ478" s="641">
        <v>3601</v>
      </c>
      <c r="AR478" t="s">
        <v>2969</v>
      </c>
      <c r="AS478" t="s">
        <v>2970</v>
      </c>
      <c r="AT478" t="s">
        <v>2180</v>
      </c>
      <c r="AU478" s="642" t="s">
        <v>2059</v>
      </c>
    </row>
    <row r="479" spans="43:47" ht="12.9" x14ac:dyDescent="0.35">
      <c r="AQ479" s="641">
        <v>3629</v>
      </c>
      <c r="AR479" t="s">
        <v>2971</v>
      </c>
      <c r="AS479" t="s">
        <v>2972</v>
      </c>
      <c r="AT479" t="s">
        <v>2973</v>
      </c>
      <c r="AU479" s="642" t="s">
        <v>2059</v>
      </c>
    </row>
    <row r="480" spans="43:47" ht="12.9" x14ac:dyDescent="0.35">
      <c r="AQ480" s="641">
        <v>3641</v>
      </c>
      <c r="AR480" t="s">
        <v>2974</v>
      </c>
      <c r="AS480" t="s">
        <v>2975</v>
      </c>
      <c r="AT480" t="s">
        <v>2973</v>
      </c>
      <c r="AU480" s="642">
        <v>8142418</v>
      </c>
    </row>
    <row r="481" spans="43:47" ht="12.9" x14ac:dyDescent="0.35">
      <c r="AQ481" s="641">
        <v>3669</v>
      </c>
      <c r="AR481" t="s">
        <v>2976</v>
      </c>
      <c r="AS481" t="s">
        <v>2977</v>
      </c>
      <c r="AT481" t="s">
        <v>2973</v>
      </c>
      <c r="AU481" s="642">
        <v>2722382</v>
      </c>
    </row>
    <row r="482" spans="43:47" ht="12.9" x14ac:dyDescent="0.35">
      <c r="AQ482" s="641">
        <v>3673</v>
      </c>
      <c r="AR482" t="s">
        <v>2978</v>
      </c>
      <c r="AS482" t="s">
        <v>2979</v>
      </c>
      <c r="AT482" t="s">
        <v>2973</v>
      </c>
      <c r="AU482" s="642">
        <v>12397555</v>
      </c>
    </row>
    <row r="483" spans="43:47" ht="12.9" x14ac:dyDescent="0.35">
      <c r="AQ483" s="641">
        <v>3685</v>
      </c>
      <c r="AR483" t="s">
        <v>2980</v>
      </c>
      <c r="AS483" t="s">
        <v>2981</v>
      </c>
      <c r="AT483" t="s">
        <v>2973</v>
      </c>
      <c r="AU483" s="642">
        <v>5498438</v>
      </c>
    </row>
    <row r="484" spans="43:47" ht="12.9" x14ac:dyDescent="0.35">
      <c r="AQ484" s="641">
        <v>3689</v>
      </c>
      <c r="AR484" t="s">
        <v>2982</v>
      </c>
      <c r="AS484" t="s">
        <v>2983</v>
      </c>
      <c r="AT484" t="s">
        <v>2973</v>
      </c>
      <c r="AU484" s="642">
        <v>8716875</v>
      </c>
    </row>
    <row r="485" spans="43:47" ht="12.9" x14ac:dyDescent="0.35">
      <c r="AQ485" s="641">
        <v>3693</v>
      </c>
      <c r="AR485" t="s">
        <v>2984</v>
      </c>
      <c r="AS485" t="s">
        <v>2985</v>
      </c>
      <c r="AT485" t="s">
        <v>2973</v>
      </c>
      <c r="AU485" s="642">
        <v>1969542</v>
      </c>
    </row>
    <row r="486" spans="43:47" ht="12.9" x14ac:dyDescent="0.35">
      <c r="AQ486" s="641">
        <v>3705</v>
      </c>
      <c r="AR486" t="s">
        <v>2986</v>
      </c>
      <c r="AS486" t="s">
        <v>2987</v>
      </c>
      <c r="AT486" t="s">
        <v>2973</v>
      </c>
      <c r="AU486" s="642">
        <v>3381914</v>
      </c>
    </row>
    <row r="487" spans="43:47" ht="12.9" x14ac:dyDescent="0.35">
      <c r="AQ487" s="641">
        <v>3725</v>
      </c>
      <c r="AR487" t="s">
        <v>2988</v>
      </c>
      <c r="AS487" t="s">
        <v>2989</v>
      </c>
      <c r="AT487" t="s">
        <v>2973</v>
      </c>
      <c r="AU487" s="642">
        <v>3030497</v>
      </c>
    </row>
    <row r="488" spans="43:47" ht="12.9" x14ac:dyDescent="0.35">
      <c r="AQ488" s="641">
        <v>3729</v>
      </c>
      <c r="AR488" t="s">
        <v>2990</v>
      </c>
      <c r="AS488" t="s">
        <v>2991</v>
      </c>
      <c r="AT488" t="s">
        <v>2973</v>
      </c>
      <c r="AU488" s="642">
        <v>15111509</v>
      </c>
    </row>
    <row r="489" spans="43:47" ht="12.9" x14ac:dyDescent="0.35">
      <c r="AQ489" s="641">
        <v>3733</v>
      </c>
      <c r="AR489" t="s">
        <v>2992</v>
      </c>
      <c r="AS489" t="s">
        <v>2993</v>
      </c>
      <c r="AT489" t="s">
        <v>2973</v>
      </c>
      <c r="AU489" s="642">
        <v>1209525</v>
      </c>
    </row>
    <row r="490" spans="43:47" ht="12.9" x14ac:dyDescent="0.35">
      <c r="AQ490" s="641">
        <v>3741</v>
      </c>
      <c r="AR490" t="s">
        <v>2994</v>
      </c>
      <c r="AS490" t="s">
        <v>2995</v>
      </c>
      <c r="AT490" t="s">
        <v>2973</v>
      </c>
      <c r="AU490" s="642">
        <v>8401792</v>
      </c>
    </row>
    <row r="491" spans="43:47" ht="12.9" x14ac:dyDescent="0.35">
      <c r="AQ491" s="641">
        <v>3753</v>
      </c>
      <c r="AR491" t="s">
        <v>2996</v>
      </c>
      <c r="AS491" t="s">
        <v>2997</v>
      </c>
      <c r="AT491" t="s">
        <v>2973</v>
      </c>
      <c r="AU491" s="642">
        <v>6760007</v>
      </c>
    </row>
    <row r="492" spans="43:47" ht="12.9" x14ac:dyDescent="0.35">
      <c r="AQ492" s="641">
        <v>3757</v>
      </c>
      <c r="AR492" t="s">
        <v>2998</v>
      </c>
      <c r="AS492" t="s">
        <v>2999</v>
      </c>
      <c r="AT492" t="s">
        <v>2973</v>
      </c>
      <c r="AU492" s="642">
        <v>9760491</v>
      </c>
    </row>
    <row r="493" spans="43:47" ht="12.9" x14ac:dyDescent="0.35">
      <c r="AQ493" s="641">
        <v>3759</v>
      </c>
      <c r="AR493" t="s">
        <v>3000</v>
      </c>
      <c r="AS493" t="s">
        <v>3001</v>
      </c>
      <c r="AT493" t="s">
        <v>2973</v>
      </c>
      <c r="AU493" s="642">
        <v>3584359</v>
      </c>
    </row>
    <row r="494" spans="43:47" ht="12.9" x14ac:dyDescent="0.35">
      <c r="AQ494" s="641">
        <v>3765</v>
      </c>
      <c r="AR494" t="s">
        <v>3002</v>
      </c>
      <c r="AS494" t="s">
        <v>3003</v>
      </c>
      <c r="AT494" t="s">
        <v>2973</v>
      </c>
      <c r="AU494" s="642">
        <v>5474769</v>
      </c>
    </row>
    <row r="495" spans="43:47" ht="12.9" x14ac:dyDescent="0.35">
      <c r="AQ495" s="641">
        <v>3768</v>
      </c>
      <c r="AR495" t="s">
        <v>3004</v>
      </c>
      <c r="AS495" t="s">
        <v>3005</v>
      </c>
      <c r="AT495" t="s">
        <v>2973</v>
      </c>
      <c r="AU495" s="642">
        <v>1088988</v>
      </c>
    </row>
    <row r="496" spans="43:47" ht="12.9" x14ac:dyDescent="0.35">
      <c r="AQ496" s="641">
        <v>3779</v>
      </c>
      <c r="AR496" t="s">
        <v>3006</v>
      </c>
      <c r="AS496" t="s">
        <v>3007</v>
      </c>
      <c r="AT496" t="s">
        <v>2973</v>
      </c>
      <c r="AU496" s="642">
        <v>2874930</v>
      </c>
    </row>
    <row r="497" spans="43:47" ht="12.9" x14ac:dyDescent="0.35">
      <c r="AQ497" s="641">
        <v>3781</v>
      </c>
      <c r="AR497" t="s">
        <v>3008</v>
      </c>
      <c r="AS497" t="s">
        <v>3009</v>
      </c>
      <c r="AT497" t="s">
        <v>2973</v>
      </c>
      <c r="AU497" s="642">
        <v>2460275</v>
      </c>
    </row>
    <row r="498" spans="43:47" ht="12.9" x14ac:dyDescent="0.35">
      <c r="AQ498" s="641">
        <v>3783</v>
      </c>
      <c r="AR498" t="s">
        <v>3010</v>
      </c>
      <c r="AS498" t="s">
        <v>3011</v>
      </c>
      <c r="AT498" t="s">
        <v>2973</v>
      </c>
      <c r="AU498" s="642">
        <v>11682415</v>
      </c>
    </row>
    <row r="499" spans="43:47" ht="12.9" x14ac:dyDescent="0.35">
      <c r="AQ499" s="641">
        <v>3791</v>
      </c>
      <c r="AR499" t="s">
        <v>3012</v>
      </c>
      <c r="AS499" t="s">
        <v>3013</v>
      </c>
      <c r="AT499" t="s">
        <v>2973</v>
      </c>
      <c r="AU499" s="642">
        <v>9602968</v>
      </c>
    </row>
    <row r="500" spans="43:47" ht="12.9" x14ac:dyDescent="0.35">
      <c r="AQ500" s="641">
        <v>3794</v>
      </c>
      <c r="AR500" t="s">
        <v>3014</v>
      </c>
      <c r="AS500" t="s">
        <v>3015</v>
      </c>
      <c r="AT500" t="s">
        <v>3016</v>
      </c>
      <c r="AU500" s="642">
        <v>10682638</v>
      </c>
    </row>
    <row r="501" spans="43:47" ht="12.9" x14ac:dyDescent="0.35">
      <c r="AQ501" s="641">
        <v>3795</v>
      </c>
      <c r="AR501" t="s">
        <v>3017</v>
      </c>
      <c r="AS501" t="s">
        <v>3018</v>
      </c>
      <c r="AT501" t="s">
        <v>2973</v>
      </c>
      <c r="AU501" s="642">
        <v>4920427</v>
      </c>
    </row>
    <row r="502" spans="43:47" ht="12.9" x14ac:dyDescent="0.35">
      <c r="AQ502" s="641">
        <v>3799</v>
      </c>
      <c r="AR502" t="s">
        <v>3019</v>
      </c>
      <c r="AS502" t="s">
        <v>3020</v>
      </c>
      <c r="AT502" t="s">
        <v>2973</v>
      </c>
      <c r="AU502" s="642">
        <v>6579419</v>
      </c>
    </row>
    <row r="503" spans="43:47" ht="12.9" x14ac:dyDescent="0.35">
      <c r="AQ503" s="641">
        <v>3803</v>
      </c>
      <c r="AR503" t="s">
        <v>3021</v>
      </c>
      <c r="AS503" t="s">
        <v>3022</v>
      </c>
      <c r="AT503" t="s">
        <v>2973</v>
      </c>
      <c r="AU503" s="642">
        <v>5973404</v>
      </c>
    </row>
    <row r="504" spans="43:47" ht="12.9" x14ac:dyDescent="0.35">
      <c r="AQ504" s="641">
        <v>3827</v>
      </c>
      <c r="AR504" t="s">
        <v>3023</v>
      </c>
      <c r="AS504" t="s">
        <v>3024</v>
      </c>
      <c r="AT504" t="s">
        <v>2973</v>
      </c>
      <c r="AU504" s="642">
        <v>20352320</v>
      </c>
    </row>
    <row r="505" spans="43:47" ht="12.9" x14ac:dyDescent="0.35">
      <c r="AQ505" s="641">
        <v>3849</v>
      </c>
      <c r="AR505" t="s">
        <v>3025</v>
      </c>
      <c r="AS505" t="s">
        <v>3026</v>
      </c>
      <c r="AT505" t="s">
        <v>2973</v>
      </c>
      <c r="AU505" s="642">
        <v>453719</v>
      </c>
    </row>
    <row r="506" spans="43:47" ht="12.9" x14ac:dyDescent="0.35">
      <c r="AQ506" s="641">
        <v>3857</v>
      </c>
      <c r="AR506" t="s">
        <v>3027</v>
      </c>
      <c r="AS506" t="s">
        <v>3028</v>
      </c>
      <c r="AT506" t="s">
        <v>2973</v>
      </c>
      <c r="AU506" s="642">
        <v>4658712</v>
      </c>
    </row>
    <row r="507" spans="43:47" ht="12.9" x14ac:dyDescent="0.35">
      <c r="AQ507" s="641">
        <v>3863</v>
      </c>
      <c r="AR507" t="s">
        <v>3029</v>
      </c>
      <c r="AS507" t="s">
        <v>3030</v>
      </c>
      <c r="AT507" t="s">
        <v>2973</v>
      </c>
      <c r="AU507" s="642">
        <v>4716994</v>
      </c>
    </row>
    <row r="508" spans="43:47" ht="12.9" x14ac:dyDescent="0.35">
      <c r="AQ508" s="641">
        <v>3865</v>
      </c>
      <c r="AR508" t="s">
        <v>3031</v>
      </c>
      <c r="AS508" t="s">
        <v>3032</v>
      </c>
      <c r="AT508" t="s">
        <v>2973</v>
      </c>
      <c r="AU508" s="642">
        <v>598609</v>
      </c>
    </row>
    <row r="509" spans="43:47" ht="12.9" x14ac:dyDescent="0.35">
      <c r="AQ509" s="641">
        <v>3869</v>
      </c>
      <c r="AR509" t="s">
        <v>3033</v>
      </c>
      <c r="AS509" t="s">
        <v>3034</v>
      </c>
      <c r="AT509" t="s">
        <v>2973</v>
      </c>
      <c r="AU509" s="642" t="s">
        <v>2059</v>
      </c>
    </row>
    <row r="510" spans="43:47" ht="12.9" x14ac:dyDescent="0.35">
      <c r="AQ510" s="641">
        <v>3877</v>
      </c>
      <c r="AR510" t="s">
        <v>3035</v>
      </c>
      <c r="AS510" t="s">
        <v>3036</v>
      </c>
      <c r="AT510" t="s">
        <v>2973</v>
      </c>
      <c r="AU510" s="642">
        <v>1328039</v>
      </c>
    </row>
    <row r="511" spans="43:47" ht="12.9" x14ac:dyDescent="0.35">
      <c r="AQ511" s="641">
        <v>3881</v>
      </c>
      <c r="AR511" t="s">
        <v>3037</v>
      </c>
      <c r="AS511" t="s">
        <v>2198</v>
      </c>
      <c r="AT511" t="s">
        <v>2973</v>
      </c>
      <c r="AU511" s="642">
        <v>9647569</v>
      </c>
    </row>
    <row r="512" spans="43:47" ht="12.9" x14ac:dyDescent="0.35">
      <c r="AQ512" s="641">
        <v>3885</v>
      </c>
      <c r="AR512" t="s">
        <v>3038</v>
      </c>
      <c r="AS512" t="s">
        <v>3039</v>
      </c>
      <c r="AT512" t="s">
        <v>2973</v>
      </c>
      <c r="AU512" s="642">
        <v>5318335</v>
      </c>
    </row>
    <row r="513" spans="43:47" ht="12.9" x14ac:dyDescent="0.35">
      <c r="AQ513" s="641">
        <v>3889</v>
      </c>
      <c r="AR513" t="s">
        <v>3040</v>
      </c>
      <c r="AS513" t="s">
        <v>3041</v>
      </c>
      <c r="AT513" t="s">
        <v>2973</v>
      </c>
      <c r="AU513" s="642">
        <v>646230</v>
      </c>
    </row>
    <row r="514" spans="43:47" ht="12.9" x14ac:dyDescent="0.35">
      <c r="AQ514" s="641">
        <v>3915</v>
      </c>
      <c r="AR514" t="s">
        <v>3042</v>
      </c>
      <c r="AS514" t="s">
        <v>3043</v>
      </c>
      <c r="AT514" t="s">
        <v>2973</v>
      </c>
      <c r="AU514" s="642">
        <v>10955212</v>
      </c>
    </row>
    <row r="515" spans="43:47" ht="12.9" x14ac:dyDescent="0.35">
      <c r="AQ515" s="641">
        <v>3919</v>
      </c>
      <c r="AR515" t="s">
        <v>3044</v>
      </c>
      <c r="AS515" t="s">
        <v>2758</v>
      </c>
      <c r="AT515" t="s">
        <v>2973</v>
      </c>
      <c r="AU515" s="642">
        <v>5290464</v>
      </c>
    </row>
    <row r="516" spans="43:47" ht="12.9" x14ac:dyDescent="0.35">
      <c r="AQ516" s="641">
        <v>3927</v>
      </c>
      <c r="AR516" t="s">
        <v>3045</v>
      </c>
      <c r="AS516" t="s">
        <v>3046</v>
      </c>
      <c r="AT516" t="s">
        <v>2973</v>
      </c>
      <c r="AU516" s="642">
        <v>14205430</v>
      </c>
    </row>
    <row r="517" spans="43:47" ht="12.9" x14ac:dyDescent="0.35">
      <c r="AQ517" s="641">
        <v>3931</v>
      </c>
      <c r="AR517" t="s">
        <v>3047</v>
      </c>
      <c r="AS517" t="s">
        <v>3048</v>
      </c>
      <c r="AT517" t="s">
        <v>2973</v>
      </c>
      <c r="AU517" s="642">
        <v>2548930</v>
      </c>
    </row>
    <row r="518" spans="43:47" ht="12.9" x14ac:dyDescent="0.35">
      <c r="AQ518" s="641">
        <v>3947</v>
      </c>
      <c r="AR518" t="s">
        <v>3049</v>
      </c>
      <c r="AS518" t="s">
        <v>3050</v>
      </c>
      <c r="AT518" t="s">
        <v>2973</v>
      </c>
      <c r="AU518" s="642">
        <v>2578813</v>
      </c>
    </row>
    <row r="519" spans="43:47" ht="12.9" x14ac:dyDescent="0.35">
      <c r="AQ519" s="641">
        <v>3951</v>
      </c>
      <c r="AR519" t="s">
        <v>3051</v>
      </c>
      <c r="AS519" t="s">
        <v>2763</v>
      </c>
      <c r="AT519" t="s">
        <v>2973</v>
      </c>
      <c r="AU519" s="642">
        <v>9274312</v>
      </c>
    </row>
    <row r="520" spans="43:47" ht="12.9" x14ac:dyDescent="0.35">
      <c r="AQ520" s="641">
        <v>3959</v>
      </c>
      <c r="AR520" t="s">
        <v>3052</v>
      </c>
      <c r="AS520" t="s">
        <v>3053</v>
      </c>
      <c r="AT520" t="s">
        <v>3054</v>
      </c>
      <c r="AU520" s="642">
        <v>5551830</v>
      </c>
    </row>
    <row r="521" spans="43:47" ht="12.9" x14ac:dyDescent="0.35">
      <c r="AQ521" s="641">
        <v>3971</v>
      </c>
      <c r="AR521" t="s">
        <v>3055</v>
      </c>
      <c r="AS521" t="s">
        <v>3056</v>
      </c>
      <c r="AT521" t="s">
        <v>3054</v>
      </c>
      <c r="AU521" s="642">
        <v>1691778</v>
      </c>
    </row>
    <row r="522" spans="43:47" ht="12.9" x14ac:dyDescent="0.35">
      <c r="AQ522" s="641">
        <v>3995</v>
      </c>
      <c r="AR522" t="s">
        <v>3057</v>
      </c>
      <c r="AS522" t="s">
        <v>3058</v>
      </c>
      <c r="AT522" t="s">
        <v>3016</v>
      </c>
      <c r="AU522" s="642">
        <v>562163</v>
      </c>
    </row>
    <row r="523" spans="43:47" ht="12.9" x14ac:dyDescent="0.35">
      <c r="AQ523" s="641">
        <v>3999</v>
      </c>
      <c r="AR523" t="s">
        <v>3059</v>
      </c>
      <c r="AS523" t="s">
        <v>2439</v>
      </c>
      <c r="AT523" t="s">
        <v>3016</v>
      </c>
      <c r="AU523" s="642">
        <v>2509421</v>
      </c>
    </row>
    <row r="524" spans="43:47" ht="12.9" x14ac:dyDescent="0.35">
      <c r="AQ524" s="641">
        <v>4003</v>
      </c>
      <c r="AR524" t="s">
        <v>3060</v>
      </c>
      <c r="AS524" t="s">
        <v>3061</v>
      </c>
      <c r="AT524" t="s">
        <v>3016</v>
      </c>
      <c r="AU524" s="642">
        <v>2511189</v>
      </c>
    </row>
    <row r="525" spans="43:47" ht="12.9" x14ac:dyDescent="0.35">
      <c r="AQ525" s="641">
        <v>4007</v>
      </c>
      <c r="AR525" t="s">
        <v>3062</v>
      </c>
      <c r="AS525" t="s">
        <v>3063</v>
      </c>
      <c r="AT525" t="s">
        <v>3016</v>
      </c>
      <c r="AU525" s="642">
        <v>3487100</v>
      </c>
    </row>
    <row r="526" spans="43:47" ht="12.9" x14ac:dyDescent="0.35">
      <c r="AQ526" s="641">
        <v>4019</v>
      </c>
      <c r="AR526" t="s">
        <v>3064</v>
      </c>
      <c r="AS526" t="s">
        <v>3065</v>
      </c>
      <c r="AT526" t="s">
        <v>3016</v>
      </c>
      <c r="AU526" s="642">
        <v>13091815</v>
      </c>
    </row>
    <row r="527" spans="43:47" ht="12.9" x14ac:dyDescent="0.35">
      <c r="AQ527" s="641">
        <v>4062</v>
      </c>
      <c r="AR527" t="s">
        <v>3066</v>
      </c>
      <c r="AS527" t="s">
        <v>2222</v>
      </c>
      <c r="AT527" t="s">
        <v>3016</v>
      </c>
      <c r="AU527" s="642">
        <v>3948033</v>
      </c>
    </row>
    <row r="528" spans="43:47" ht="12.9" x14ac:dyDescent="0.35">
      <c r="AQ528" s="641">
        <v>4063</v>
      </c>
      <c r="AR528" t="s">
        <v>3067</v>
      </c>
      <c r="AS528" t="s">
        <v>3068</v>
      </c>
      <c r="AT528" t="s">
        <v>3016</v>
      </c>
      <c r="AU528" s="642">
        <v>1815341</v>
      </c>
    </row>
    <row r="529" spans="43:47" ht="12.9" x14ac:dyDescent="0.35">
      <c r="AQ529" s="641">
        <v>4073</v>
      </c>
      <c r="AR529" t="s">
        <v>3069</v>
      </c>
      <c r="AS529" t="s">
        <v>3070</v>
      </c>
      <c r="AT529" t="s">
        <v>3016</v>
      </c>
      <c r="AU529" s="642" t="s">
        <v>2059</v>
      </c>
    </row>
    <row r="530" spans="43:47" ht="12.9" x14ac:dyDescent="0.35">
      <c r="AQ530" s="641">
        <v>4077</v>
      </c>
      <c r="AR530" t="s">
        <v>3071</v>
      </c>
      <c r="AS530" t="s">
        <v>3072</v>
      </c>
      <c r="AT530" t="s">
        <v>3016</v>
      </c>
      <c r="AU530" s="642">
        <v>1791139</v>
      </c>
    </row>
    <row r="531" spans="43:47" ht="12.9" x14ac:dyDescent="0.35">
      <c r="AQ531" s="641">
        <v>4081</v>
      </c>
      <c r="AR531" t="s">
        <v>3073</v>
      </c>
      <c r="AS531" t="s">
        <v>3074</v>
      </c>
      <c r="AT531" t="s">
        <v>3016</v>
      </c>
      <c r="AU531" s="642">
        <v>2369481</v>
      </c>
    </row>
    <row r="532" spans="43:47" ht="12.9" x14ac:dyDescent="0.35">
      <c r="AQ532" s="641">
        <v>4085</v>
      </c>
      <c r="AR532" t="s">
        <v>3075</v>
      </c>
      <c r="AS532" t="s">
        <v>3076</v>
      </c>
      <c r="AT532" t="s">
        <v>3016</v>
      </c>
      <c r="AU532" s="642">
        <v>828735</v>
      </c>
    </row>
    <row r="533" spans="43:47" ht="12.9" x14ac:dyDescent="0.35">
      <c r="AQ533" s="641">
        <v>4093</v>
      </c>
      <c r="AR533" t="s">
        <v>3077</v>
      </c>
      <c r="AS533" t="s">
        <v>3078</v>
      </c>
      <c r="AT533" t="s">
        <v>3016</v>
      </c>
      <c r="AU533" s="642">
        <v>746334</v>
      </c>
    </row>
    <row r="534" spans="43:47" ht="12.9" x14ac:dyDescent="0.35">
      <c r="AQ534" s="641">
        <v>4105</v>
      </c>
      <c r="AR534" t="s">
        <v>3079</v>
      </c>
      <c r="AS534" t="s">
        <v>2893</v>
      </c>
      <c r="AT534" t="s">
        <v>3016</v>
      </c>
      <c r="AU534" s="642">
        <v>820717</v>
      </c>
    </row>
    <row r="535" spans="43:47" ht="12.9" x14ac:dyDescent="0.35">
      <c r="AQ535" s="641">
        <v>4111</v>
      </c>
      <c r="AR535" t="s">
        <v>3080</v>
      </c>
      <c r="AS535" t="s">
        <v>3081</v>
      </c>
      <c r="AT535" t="s">
        <v>3016</v>
      </c>
      <c r="AU535" s="642">
        <v>756031</v>
      </c>
    </row>
    <row r="536" spans="43:47" ht="12.9" x14ac:dyDescent="0.35">
      <c r="AQ536" s="641">
        <v>4115</v>
      </c>
      <c r="AR536" t="s">
        <v>3082</v>
      </c>
      <c r="AS536" t="s">
        <v>3083</v>
      </c>
      <c r="AT536" t="s">
        <v>3016</v>
      </c>
      <c r="AU536" s="642">
        <v>3577287</v>
      </c>
    </row>
    <row r="537" spans="43:47" ht="12.9" x14ac:dyDescent="0.35">
      <c r="AQ537" s="641">
        <v>4116</v>
      </c>
      <c r="AR537" t="s">
        <v>3084</v>
      </c>
      <c r="AS537" t="s">
        <v>3085</v>
      </c>
      <c r="AT537" t="s">
        <v>3016</v>
      </c>
      <c r="AU537" s="642">
        <v>4970687</v>
      </c>
    </row>
    <row r="538" spans="43:47" ht="12.9" x14ac:dyDescent="0.35">
      <c r="AQ538" s="641">
        <v>4123</v>
      </c>
      <c r="AR538" t="s">
        <v>3086</v>
      </c>
      <c r="AS538" t="s">
        <v>3087</v>
      </c>
      <c r="AT538" t="s">
        <v>3016</v>
      </c>
      <c r="AU538" s="642">
        <v>683859</v>
      </c>
    </row>
    <row r="539" spans="43:47" ht="12.9" x14ac:dyDescent="0.35">
      <c r="AQ539" s="641">
        <v>4131</v>
      </c>
      <c r="AR539" t="s">
        <v>3088</v>
      </c>
      <c r="AS539" t="s">
        <v>3089</v>
      </c>
      <c r="AT539" t="s">
        <v>3016</v>
      </c>
      <c r="AU539" s="642">
        <v>1578672</v>
      </c>
    </row>
    <row r="540" spans="43:47" ht="12.9" x14ac:dyDescent="0.35">
      <c r="AQ540" s="641">
        <v>4135</v>
      </c>
      <c r="AR540" t="s">
        <v>3090</v>
      </c>
      <c r="AS540" t="s">
        <v>3091</v>
      </c>
      <c r="AT540" t="s">
        <v>3016</v>
      </c>
      <c r="AU540" s="642">
        <v>3334817</v>
      </c>
    </row>
    <row r="541" spans="43:47" ht="12.9" x14ac:dyDescent="0.35">
      <c r="AQ541" s="641">
        <v>4143</v>
      </c>
      <c r="AR541" t="s">
        <v>3092</v>
      </c>
      <c r="AS541" t="s">
        <v>2970</v>
      </c>
      <c r="AT541" t="s">
        <v>3016</v>
      </c>
      <c r="AU541" s="642">
        <v>3357466</v>
      </c>
    </row>
    <row r="542" spans="43:47" ht="12.9" x14ac:dyDescent="0.35">
      <c r="AQ542" s="641">
        <v>4147</v>
      </c>
      <c r="AR542" t="s">
        <v>3093</v>
      </c>
      <c r="AS542" t="s">
        <v>3094</v>
      </c>
      <c r="AT542" t="s">
        <v>3016</v>
      </c>
      <c r="AU542" s="642">
        <v>456966</v>
      </c>
    </row>
    <row r="543" spans="43:47" ht="12.9" x14ac:dyDescent="0.35">
      <c r="AQ543" s="641">
        <v>4151</v>
      </c>
      <c r="AR543" t="s">
        <v>3095</v>
      </c>
      <c r="AS543" t="s">
        <v>3096</v>
      </c>
      <c r="AT543" t="s">
        <v>3016</v>
      </c>
      <c r="AU543" s="642">
        <v>1575970</v>
      </c>
    </row>
    <row r="544" spans="43:47" ht="12.9" x14ac:dyDescent="0.35">
      <c r="AQ544" s="641">
        <v>4155</v>
      </c>
      <c r="AR544" t="s">
        <v>3097</v>
      </c>
      <c r="AS544" t="s">
        <v>3098</v>
      </c>
      <c r="AT544" t="s">
        <v>3016</v>
      </c>
      <c r="AU544" s="642">
        <v>313883</v>
      </c>
    </row>
    <row r="545" spans="43:47" ht="12.9" x14ac:dyDescent="0.35">
      <c r="AQ545" s="641">
        <v>4163</v>
      </c>
      <c r="AR545" t="s">
        <v>3099</v>
      </c>
      <c r="AS545" t="s">
        <v>2198</v>
      </c>
      <c r="AT545" t="s">
        <v>3016</v>
      </c>
      <c r="AU545" s="642">
        <v>3506491</v>
      </c>
    </row>
    <row r="546" spans="43:47" ht="12.9" x14ac:dyDescent="0.35">
      <c r="AQ546" s="641">
        <v>4171</v>
      </c>
      <c r="AR546" t="s">
        <v>3100</v>
      </c>
      <c r="AS546" t="s">
        <v>3101</v>
      </c>
      <c r="AT546" t="s">
        <v>3016</v>
      </c>
      <c r="AU546" s="642">
        <v>27468238</v>
      </c>
    </row>
    <row r="547" spans="43:47" ht="12.9" x14ac:dyDescent="0.35">
      <c r="AQ547" s="641">
        <v>4207</v>
      </c>
      <c r="AR547" t="s">
        <v>3102</v>
      </c>
      <c r="AS547" t="s">
        <v>3103</v>
      </c>
      <c r="AT547" t="s">
        <v>3016</v>
      </c>
      <c r="AU547" s="642">
        <v>1141237</v>
      </c>
    </row>
    <row r="548" spans="43:47" ht="12.9" x14ac:dyDescent="0.35">
      <c r="AQ548" s="641">
        <v>4211</v>
      </c>
      <c r="AR548" t="s">
        <v>3104</v>
      </c>
      <c r="AS548" t="s">
        <v>3105</v>
      </c>
      <c r="AT548" t="s">
        <v>3016</v>
      </c>
      <c r="AU548" s="642">
        <v>1790308</v>
      </c>
    </row>
    <row r="549" spans="43:47" ht="12.9" x14ac:dyDescent="0.35">
      <c r="AQ549" s="641">
        <v>4221</v>
      </c>
      <c r="AR549" t="s">
        <v>3106</v>
      </c>
      <c r="AS549" t="s">
        <v>3107</v>
      </c>
      <c r="AT549" t="s">
        <v>3016</v>
      </c>
      <c r="AU549" s="642">
        <v>147066636</v>
      </c>
    </row>
    <row r="550" spans="43:47" ht="12.9" x14ac:dyDescent="0.35">
      <c r="AQ550" s="641">
        <v>4338</v>
      </c>
      <c r="AR550" t="s">
        <v>3108</v>
      </c>
      <c r="AS550" t="s">
        <v>2204</v>
      </c>
      <c r="AT550" t="s">
        <v>3016</v>
      </c>
      <c r="AU550" s="642">
        <v>1393598</v>
      </c>
    </row>
    <row r="551" spans="43:47" ht="12.9" x14ac:dyDescent="0.35">
      <c r="AQ551" s="641">
        <v>4342</v>
      </c>
      <c r="AR551" t="s">
        <v>3109</v>
      </c>
      <c r="AS551" t="s">
        <v>3110</v>
      </c>
      <c r="AT551" t="s">
        <v>3016</v>
      </c>
      <c r="AU551" s="642">
        <v>4804174</v>
      </c>
    </row>
    <row r="552" spans="43:47" ht="12.9" x14ac:dyDescent="0.35">
      <c r="AQ552" s="641">
        <v>4346</v>
      </c>
      <c r="AR552" t="s">
        <v>3111</v>
      </c>
      <c r="AS552" t="s">
        <v>3112</v>
      </c>
      <c r="AT552" t="s">
        <v>3016</v>
      </c>
      <c r="AU552" s="642">
        <v>805752</v>
      </c>
    </row>
    <row r="553" spans="43:47" ht="12.9" x14ac:dyDescent="0.35">
      <c r="AQ553" s="641">
        <v>4350</v>
      </c>
      <c r="AR553" t="s">
        <v>3113</v>
      </c>
      <c r="AS553" t="s">
        <v>3114</v>
      </c>
      <c r="AT553" t="s">
        <v>3016</v>
      </c>
      <c r="AU553" s="642">
        <v>1371152</v>
      </c>
    </row>
    <row r="554" spans="43:47" ht="12.9" x14ac:dyDescent="0.35">
      <c r="AQ554" s="641">
        <v>4354</v>
      </c>
      <c r="AR554" t="s">
        <v>3115</v>
      </c>
      <c r="AS554" t="s">
        <v>3116</v>
      </c>
      <c r="AT554" t="s">
        <v>3016</v>
      </c>
      <c r="AU554" s="642">
        <v>2025496</v>
      </c>
    </row>
    <row r="555" spans="43:47" ht="12.9" x14ac:dyDescent="0.35">
      <c r="AQ555" s="641">
        <v>4362</v>
      </c>
      <c r="AR555" t="s">
        <v>3117</v>
      </c>
      <c r="AS555" t="s">
        <v>3118</v>
      </c>
      <c r="AT555" t="s">
        <v>3016</v>
      </c>
      <c r="AU555" s="642">
        <v>1330912</v>
      </c>
    </row>
    <row r="556" spans="43:47" ht="12.9" x14ac:dyDescent="0.35">
      <c r="AQ556" s="641">
        <v>4368</v>
      </c>
      <c r="AR556" t="s">
        <v>3119</v>
      </c>
      <c r="AS556" t="s">
        <v>2842</v>
      </c>
      <c r="AT556" t="s">
        <v>3016</v>
      </c>
      <c r="AU556" s="642">
        <v>38623581</v>
      </c>
    </row>
    <row r="557" spans="43:47" ht="12.9" x14ac:dyDescent="0.35">
      <c r="AQ557" s="641">
        <v>4400</v>
      </c>
      <c r="AR557" t="s">
        <v>3120</v>
      </c>
      <c r="AS557" t="s">
        <v>3121</v>
      </c>
      <c r="AT557" t="s">
        <v>3016</v>
      </c>
      <c r="AU557" s="642">
        <v>4743714</v>
      </c>
    </row>
    <row r="558" spans="43:47" ht="12.9" x14ac:dyDescent="0.35">
      <c r="AQ558" s="641">
        <v>4404</v>
      </c>
      <c r="AR558" t="s">
        <v>3122</v>
      </c>
      <c r="AS558" t="s">
        <v>2300</v>
      </c>
      <c r="AT558" t="s">
        <v>3016</v>
      </c>
      <c r="AU558" s="642">
        <v>3700363</v>
      </c>
    </row>
    <row r="559" spans="43:47" ht="12.9" x14ac:dyDescent="0.35">
      <c r="AQ559" s="641">
        <v>4408</v>
      </c>
      <c r="AR559" t="s">
        <v>3123</v>
      </c>
      <c r="AS559" t="s">
        <v>3124</v>
      </c>
      <c r="AT559" t="s">
        <v>3016</v>
      </c>
      <c r="AU559" s="642">
        <v>6899934</v>
      </c>
    </row>
    <row r="560" spans="43:47" ht="12.9" x14ac:dyDescent="0.35">
      <c r="AQ560" s="641">
        <v>4412</v>
      </c>
      <c r="AR560" t="s">
        <v>3125</v>
      </c>
      <c r="AS560" t="s">
        <v>3126</v>
      </c>
      <c r="AT560" t="s">
        <v>3016</v>
      </c>
      <c r="AU560" s="642">
        <v>7703900</v>
      </c>
    </row>
    <row r="561" spans="43:47" ht="12.9" x14ac:dyDescent="0.35">
      <c r="AQ561" s="641">
        <v>4416</v>
      </c>
      <c r="AR561" t="s">
        <v>3127</v>
      </c>
      <c r="AS561" t="s">
        <v>2284</v>
      </c>
      <c r="AT561" t="s">
        <v>3016</v>
      </c>
      <c r="AU561" s="642">
        <v>32031240</v>
      </c>
    </row>
    <row r="562" spans="43:47" ht="12.9" x14ac:dyDescent="0.35">
      <c r="AQ562" s="641">
        <v>4432</v>
      </c>
      <c r="AR562" t="s">
        <v>3128</v>
      </c>
      <c r="AS562" t="s">
        <v>3129</v>
      </c>
      <c r="AT562" t="s">
        <v>3016</v>
      </c>
      <c r="AU562" s="642">
        <v>13956388</v>
      </c>
    </row>
    <row r="563" spans="43:47" ht="12.9" x14ac:dyDescent="0.35">
      <c r="AQ563" s="641">
        <v>4450</v>
      </c>
      <c r="AR563" t="s">
        <v>3130</v>
      </c>
      <c r="AS563" t="s">
        <v>3131</v>
      </c>
      <c r="AT563" t="s">
        <v>3016</v>
      </c>
      <c r="AU563" s="642">
        <v>2211853</v>
      </c>
    </row>
    <row r="564" spans="43:47" ht="12.9" x14ac:dyDescent="0.35">
      <c r="AQ564" s="641">
        <v>4452</v>
      </c>
      <c r="AR564" t="s">
        <v>3132</v>
      </c>
      <c r="AS564" t="s">
        <v>3133</v>
      </c>
      <c r="AT564" t="s">
        <v>3016</v>
      </c>
      <c r="AU564" s="642">
        <v>3505820</v>
      </c>
    </row>
    <row r="565" spans="43:47" ht="12.9" x14ac:dyDescent="0.35">
      <c r="AQ565" s="641">
        <v>4456</v>
      </c>
      <c r="AR565" t="s">
        <v>3134</v>
      </c>
      <c r="AS565" t="s">
        <v>3135</v>
      </c>
      <c r="AT565" t="s">
        <v>2177</v>
      </c>
      <c r="AU565" s="642">
        <v>1346336</v>
      </c>
    </row>
    <row r="566" spans="43:47" ht="12.9" x14ac:dyDescent="0.35">
      <c r="AQ566" s="641">
        <v>4460</v>
      </c>
      <c r="AR566" t="s">
        <v>3136</v>
      </c>
      <c r="AS566" t="s">
        <v>3137</v>
      </c>
      <c r="AT566" t="s">
        <v>3016</v>
      </c>
      <c r="AU566" s="642">
        <v>8419520</v>
      </c>
    </row>
    <row r="567" spans="43:47" ht="12.9" x14ac:dyDescent="0.35">
      <c r="AQ567" s="641">
        <v>4468</v>
      </c>
      <c r="AR567" t="s">
        <v>3138</v>
      </c>
      <c r="AS567" t="s">
        <v>3139</v>
      </c>
      <c r="AT567" t="s">
        <v>3016</v>
      </c>
      <c r="AU567" s="642" t="s">
        <v>2059</v>
      </c>
    </row>
    <row r="568" spans="43:47" ht="12.9" x14ac:dyDescent="0.35">
      <c r="AQ568" s="641">
        <v>4470</v>
      </c>
      <c r="AR568" t="s">
        <v>3140</v>
      </c>
      <c r="AS568" t="s">
        <v>3141</v>
      </c>
      <c r="AT568" t="s">
        <v>3142</v>
      </c>
      <c r="AU568" s="642">
        <v>1530159</v>
      </c>
    </row>
    <row r="569" spans="43:47" ht="12.9" x14ac:dyDescent="0.35">
      <c r="AQ569" s="641">
        <v>4471</v>
      </c>
      <c r="AR569" t="s">
        <v>3143</v>
      </c>
      <c r="AS569" t="s">
        <v>3144</v>
      </c>
      <c r="AT569" t="s">
        <v>3142</v>
      </c>
      <c r="AU569" s="642">
        <v>3854441</v>
      </c>
    </row>
    <row r="570" spans="43:47" ht="12.9" x14ac:dyDescent="0.35">
      <c r="AQ570" s="641">
        <v>4476</v>
      </c>
      <c r="AR570" t="s">
        <v>3145</v>
      </c>
      <c r="AS570" t="s">
        <v>3146</v>
      </c>
      <c r="AT570" t="s">
        <v>3142</v>
      </c>
      <c r="AU570" s="642">
        <v>1709163</v>
      </c>
    </row>
    <row r="571" spans="43:47" ht="12.9" x14ac:dyDescent="0.35">
      <c r="AQ571" s="641">
        <v>4480</v>
      </c>
      <c r="AR571" t="s">
        <v>3147</v>
      </c>
      <c r="AS571" t="s">
        <v>3148</v>
      </c>
      <c r="AT571" t="s">
        <v>3142</v>
      </c>
      <c r="AU571" s="642">
        <v>9912759</v>
      </c>
    </row>
    <row r="572" spans="43:47" ht="12.9" x14ac:dyDescent="0.35">
      <c r="AQ572" s="641">
        <v>4500</v>
      </c>
      <c r="AR572" t="s">
        <v>3149</v>
      </c>
      <c r="AS572" t="s">
        <v>2537</v>
      </c>
      <c r="AT572" t="s">
        <v>3142</v>
      </c>
      <c r="AU572" s="642">
        <v>1937040</v>
      </c>
    </row>
    <row r="573" spans="43:47" ht="12.9" x14ac:dyDescent="0.35">
      <c r="AQ573" s="641">
        <v>4510</v>
      </c>
      <c r="AR573" t="s">
        <v>3150</v>
      </c>
      <c r="AS573" t="s">
        <v>3151</v>
      </c>
      <c r="AT573" t="s">
        <v>3142</v>
      </c>
      <c r="AU573" s="642">
        <v>4621052</v>
      </c>
    </row>
    <row r="574" spans="43:47" ht="12.9" x14ac:dyDescent="0.35">
      <c r="AQ574" s="641">
        <v>4511</v>
      </c>
      <c r="AR574" t="s">
        <v>3152</v>
      </c>
      <c r="AS574" t="s">
        <v>3153</v>
      </c>
      <c r="AT574" t="s">
        <v>3142</v>
      </c>
      <c r="AU574" s="642">
        <v>73130794</v>
      </c>
    </row>
    <row r="575" spans="43:47" ht="12.9" x14ac:dyDescent="0.35">
      <c r="AQ575" s="641">
        <v>4521</v>
      </c>
      <c r="AR575" t="s">
        <v>3154</v>
      </c>
      <c r="AS575" t="s">
        <v>3155</v>
      </c>
      <c r="AT575" t="s">
        <v>3142</v>
      </c>
      <c r="AU575" s="642">
        <v>4846591</v>
      </c>
    </row>
    <row r="576" spans="43:47" ht="12.9" x14ac:dyDescent="0.35">
      <c r="AQ576" s="641">
        <v>4540</v>
      </c>
      <c r="AR576" t="s">
        <v>3156</v>
      </c>
      <c r="AS576" t="s">
        <v>3157</v>
      </c>
      <c r="AT576" t="s">
        <v>3142</v>
      </c>
      <c r="AU576" s="642">
        <v>1330365</v>
      </c>
    </row>
    <row r="577" spans="43:47" ht="12.9" x14ac:dyDescent="0.35">
      <c r="AQ577" s="641">
        <v>4544</v>
      </c>
      <c r="AR577" t="s">
        <v>3158</v>
      </c>
      <c r="AS577" t="s">
        <v>3159</v>
      </c>
      <c r="AT577" t="s">
        <v>3142</v>
      </c>
      <c r="AU577" s="642">
        <v>5905733</v>
      </c>
    </row>
    <row r="578" spans="43:47" ht="12.9" x14ac:dyDescent="0.35">
      <c r="AQ578" s="641">
        <v>4546</v>
      </c>
      <c r="AR578" t="s">
        <v>3160</v>
      </c>
      <c r="AS578" t="s">
        <v>3161</v>
      </c>
      <c r="AT578" t="s">
        <v>3142</v>
      </c>
      <c r="AU578" s="642">
        <v>2776409</v>
      </c>
    </row>
    <row r="579" spans="43:47" ht="12.9" x14ac:dyDescent="0.35">
      <c r="AQ579" s="641">
        <v>4548</v>
      </c>
      <c r="AR579" t="s">
        <v>3162</v>
      </c>
      <c r="AS579" t="s">
        <v>3163</v>
      </c>
      <c r="AT579" t="s">
        <v>3142</v>
      </c>
      <c r="AU579" s="642">
        <v>12139470</v>
      </c>
    </row>
    <row r="580" spans="43:47" ht="12.9" x14ac:dyDescent="0.35">
      <c r="AQ580" s="641">
        <v>4554</v>
      </c>
      <c r="AR580" t="s">
        <v>3164</v>
      </c>
      <c r="AS580" t="s">
        <v>3165</v>
      </c>
      <c r="AT580" t="s">
        <v>3142</v>
      </c>
      <c r="AU580" s="642">
        <v>792331</v>
      </c>
    </row>
    <row r="581" spans="43:47" ht="12.9" x14ac:dyDescent="0.35">
      <c r="AQ581" s="641">
        <v>4560</v>
      </c>
      <c r="AR581" t="s">
        <v>3166</v>
      </c>
      <c r="AS581" t="s">
        <v>3167</v>
      </c>
      <c r="AT581" t="s">
        <v>3142</v>
      </c>
      <c r="AU581" s="642">
        <v>1419387</v>
      </c>
    </row>
    <row r="582" spans="43:47" ht="12.9" x14ac:dyDescent="0.35">
      <c r="AQ582" s="641">
        <v>4561</v>
      </c>
      <c r="AR582" t="s">
        <v>3168</v>
      </c>
      <c r="AS582" t="s">
        <v>2615</v>
      </c>
      <c r="AT582" t="s">
        <v>3142</v>
      </c>
      <c r="AU582" s="642">
        <v>1321804</v>
      </c>
    </row>
    <row r="583" spans="43:47" ht="12.9" x14ac:dyDescent="0.35">
      <c r="AQ583" s="641">
        <v>4563</v>
      </c>
      <c r="AR583" t="s">
        <v>3169</v>
      </c>
      <c r="AS583" t="s">
        <v>3170</v>
      </c>
      <c r="AT583" t="s">
        <v>3142</v>
      </c>
      <c r="AU583" s="642">
        <v>6353969</v>
      </c>
    </row>
    <row r="584" spans="43:47" ht="12.9" x14ac:dyDescent="0.35">
      <c r="AQ584" s="641">
        <v>4574</v>
      </c>
      <c r="AR584" t="s">
        <v>3171</v>
      </c>
      <c r="AS584" t="s">
        <v>3172</v>
      </c>
      <c r="AT584" t="s">
        <v>3142</v>
      </c>
      <c r="AU584" s="642">
        <v>6480673</v>
      </c>
    </row>
    <row r="585" spans="43:47" ht="12.9" x14ac:dyDescent="0.35">
      <c r="AQ585" s="641">
        <v>4576</v>
      </c>
      <c r="AR585" t="s">
        <v>3173</v>
      </c>
      <c r="AS585" t="s">
        <v>3174</v>
      </c>
      <c r="AT585" t="s">
        <v>3142</v>
      </c>
      <c r="AU585" s="642">
        <v>6354316</v>
      </c>
    </row>
    <row r="586" spans="43:47" ht="12.9" x14ac:dyDescent="0.35">
      <c r="AQ586" s="641">
        <v>4578</v>
      </c>
      <c r="AR586" t="s">
        <v>3175</v>
      </c>
      <c r="AS586" t="s">
        <v>3176</v>
      </c>
      <c r="AT586" t="s">
        <v>3142</v>
      </c>
      <c r="AU586" s="642">
        <v>1041365</v>
      </c>
    </row>
    <row r="587" spans="43:47" ht="12.9" x14ac:dyDescent="0.35">
      <c r="AQ587" s="641">
        <v>4586</v>
      </c>
      <c r="AR587" t="s">
        <v>3177</v>
      </c>
      <c r="AS587" t="s">
        <v>2611</v>
      </c>
      <c r="AT587" t="s">
        <v>3142</v>
      </c>
      <c r="AU587" s="642">
        <v>2029150</v>
      </c>
    </row>
    <row r="588" spans="43:47" ht="12.9" x14ac:dyDescent="0.35">
      <c r="AQ588" s="641">
        <v>4598</v>
      </c>
      <c r="AR588" t="s">
        <v>3178</v>
      </c>
      <c r="AS588" t="s">
        <v>3179</v>
      </c>
      <c r="AT588" t="s">
        <v>3142</v>
      </c>
      <c r="AU588" s="642">
        <v>60215601</v>
      </c>
    </row>
    <row r="589" spans="43:47" ht="12.9" x14ac:dyDescent="0.35">
      <c r="AQ589" s="641">
        <v>4600</v>
      </c>
      <c r="AR589" t="s">
        <v>3180</v>
      </c>
      <c r="AS589" t="s">
        <v>3181</v>
      </c>
      <c r="AT589" t="s">
        <v>3142</v>
      </c>
      <c r="AU589" s="642">
        <v>1690810</v>
      </c>
    </row>
    <row r="590" spans="43:47" ht="12.9" x14ac:dyDescent="0.35">
      <c r="AQ590" s="641">
        <v>4602</v>
      </c>
      <c r="AR590" t="s">
        <v>3182</v>
      </c>
      <c r="AS590" t="s">
        <v>3179</v>
      </c>
      <c r="AT590" t="s">
        <v>3142</v>
      </c>
      <c r="AU590" s="642">
        <v>850153</v>
      </c>
    </row>
    <row r="591" spans="43:47" ht="12.9" x14ac:dyDescent="0.35">
      <c r="AQ591" s="641">
        <v>4614</v>
      </c>
      <c r="AR591" t="s">
        <v>3183</v>
      </c>
      <c r="AS591" t="s">
        <v>3184</v>
      </c>
      <c r="AT591" t="s">
        <v>3142</v>
      </c>
      <c r="AU591" s="642">
        <v>3750783</v>
      </c>
    </row>
    <row r="592" spans="43:47" ht="12.9" x14ac:dyDescent="0.35">
      <c r="AQ592" s="641">
        <v>4618</v>
      </c>
      <c r="AR592" t="s">
        <v>3185</v>
      </c>
      <c r="AS592" t="s">
        <v>2702</v>
      </c>
      <c r="AT592" t="s">
        <v>3142</v>
      </c>
      <c r="AU592" s="642">
        <v>5904151</v>
      </c>
    </row>
    <row r="593" spans="43:47" ht="12.9" x14ac:dyDescent="0.35">
      <c r="AQ593" s="641">
        <v>4619</v>
      </c>
      <c r="AR593" t="s">
        <v>3186</v>
      </c>
      <c r="AS593" t="s">
        <v>3187</v>
      </c>
      <c r="AT593" t="s">
        <v>3142</v>
      </c>
      <c r="AU593" s="642">
        <v>2599901</v>
      </c>
    </row>
    <row r="594" spans="43:47" ht="12.9" x14ac:dyDescent="0.35">
      <c r="AQ594" s="641">
        <v>4620</v>
      </c>
      <c r="AR594" t="s">
        <v>3188</v>
      </c>
      <c r="AS594" t="s">
        <v>2309</v>
      </c>
      <c r="AT594" t="s">
        <v>3142</v>
      </c>
      <c r="AU594" s="642">
        <v>1797460</v>
      </c>
    </row>
    <row r="595" spans="43:47" ht="12.9" x14ac:dyDescent="0.35">
      <c r="AQ595" s="641">
        <v>4622</v>
      </c>
      <c r="AR595" t="s">
        <v>3189</v>
      </c>
      <c r="AS595" t="s">
        <v>2224</v>
      </c>
      <c r="AT595" t="s">
        <v>3142</v>
      </c>
      <c r="AU595" s="642">
        <v>2678573</v>
      </c>
    </row>
    <row r="596" spans="43:47" ht="12.9" x14ac:dyDescent="0.35">
      <c r="AQ596" s="641">
        <v>4626</v>
      </c>
      <c r="AR596" t="s">
        <v>3190</v>
      </c>
      <c r="AS596" t="s">
        <v>3191</v>
      </c>
      <c r="AT596" t="s">
        <v>3142</v>
      </c>
      <c r="AU596" s="642">
        <v>23801597</v>
      </c>
    </row>
    <row r="597" spans="43:47" ht="12.9" x14ac:dyDescent="0.35">
      <c r="AQ597" s="641">
        <v>4633</v>
      </c>
      <c r="AR597" t="s">
        <v>3192</v>
      </c>
      <c r="AS597" t="s">
        <v>3193</v>
      </c>
      <c r="AT597" t="s">
        <v>3142</v>
      </c>
      <c r="AU597" s="642">
        <v>180041</v>
      </c>
    </row>
    <row r="598" spans="43:47" ht="12.9" x14ac:dyDescent="0.35">
      <c r="AQ598" s="641">
        <v>4642</v>
      </c>
      <c r="AR598" t="s">
        <v>3194</v>
      </c>
      <c r="AS598" t="s">
        <v>3195</v>
      </c>
      <c r="AT598" t="s">
        <v>3196</v>
      </c>
      <c r="AU598" s="642">
        <v>3972708</v>
      </c>
    </row>
    <row r="599" spans="43:47" ht="12.9" x14ac:dyDescent="0.35">
      <c r="AQ599" s="641">
        <v>4644</v>
      </c>
      <c r="AR599" t="s">
        <v>3197</v>
      </c>
      <c r="AS599" t="s">
        <v>3198</v>
      </c>
      <c r="AT599" t="s">
        <v>3142</v>
      </c>
      <c r="AU599" s="642">
        <v>609114</v>
      </c>
    </row>
    <row r="600" spans="43:47" ht="12.9" x14ac:dyDescent="0.35">
      <c r="AQ600" s="641">
        <v>4646</v>
      </c>
      <c r="AR600" t="s">
        <v>3199</v>
      </c>
      <c r="AS600" t="s">
        <v>3200</v>
      </c>
      <c r="AT600" t="s">
        <v>3196</v>
      </c>
      <c r="AU600" s="642">
        <v>10233736</v>
      </c>
    </row>
    <row r="601" spans="43:47" ht="12.9" x14ac:dyDescent="0.35">
      <c r="AQ601" s="641">
        <v>4650</v>
      </c>
      <c r="AR601" t="s">
        <v>3201</v>
      </c>
      <c r="AS601" t="s">
        <v>3200</v>
      </c>
      <c r="AT601" t="s">
        <v>3196</v>
      </c>
      <c r="AU601" s="642">
        <v>3007</v>
      </c>
    </row>
    <row r="602" spans="43:47" ht="12.9" x14ac:dyDescent="0.35">
      <c r="AQ602" s="641">
        <v>4656</v>
      </c>
      <c r="AR602" t="s">
        <v>3202</v>
      </c>
      <c r="AS602" t="s">
        <v>3203</v>
      </c>
      <c r="AT602" t="s">
        <v>3196</v>
      </c>
      <c r="AU602" s="642">
        <v>2462413</v>
      </c>
    </row>
    <row r="603" spans="43:47" ht="12.9" x14ac:dyDescent="0.35">
      <c r="AQ603" s="641">
        <v>4659</v>
      </c>
      <c r="AR603" t="s">
        <v>3204</v>
      </c>
      <c r="AS603" t="s">
        <v>3091</v>
      </c>
      <c r="AT603" t="s">
        <v>3196</v>
      </c>
      <c r="AU603" s="642">
        <v>830495</v>
      </c>
    </row>
    <row r="604" spans="43:47" ht="12.9" x14ac:dyDescent="0.35">
      <c r="AQ604" s="641">
        <v>4660</v>
      </c>
      <c r="AR604" t="s">
        <v>3205</v>
      </c>
      <c r="AS604" t="s">
        <v>3206</v>
      </c>
      <c r="AT604" t="s">
        <v>3196</v>
      </c>
      <c r="AU604" s="642">
        <v>1927946</v>
      </c>
    </row>
    <row r="605" spans="43:47" ht="12.9" x14ac:dyDescent="0.35">
      <c r="AQ605" s="641">
        <v>4679</v>
      </c>
      <c r="AR605" t="s">
        <v>3207</v>
      </c>
      <c r="AS605" t="s">
        <v>3208</v>
      </c>
      <c r="AT605" t="s">
        <v>3209</v>
      </c>
      <c r="AU605" s="642">
        <v>13326713</v>
      </c>
    </row>
    <row r="606" spans="43:47" ht="12.9" x14ac:dyDescent="0.35">
      <c r="AQ606" s="641">
        <v>4723</v>
      </c>
      <c r="AR606" t="s">
        <v>3210</v>
      </c>
      <c r="AS606" t="s">
        <v>3211</v>
      </c>
      <c r="AT606" t="s">
        <v>3209</v>
      </c>
      <c r="AU606" s="642">
        <v>583349</v>
      </c>
    </row>
    <row r="607" spans="43:47" ht="12.9" x14ac:dyDescent="0.35">
      <c r="AQ607" s="641">
        <v>4735</v>
      </c>
      <c r="AR607" t="s">
        <v>3212</v>
      </c>
      <c r="AS607" t="s">
        <v>2925</v>
      </c>
      <c r="AT607" t="s">
        <v>3209</v>
      </c>
      <c r="AU607" s="642">
        <v>963304</v>
      </c>
    </row>
    <row r="608" spans="43:47" ht="12.9" x14ac:dyDescent="0.35">
      <c r="AQ608" s="641">
        <v>4739</v>
      </c>
      <c r="AR608" t="s">
        <v>3213</v>
      </c>
      <c r="AS608" t="s">
        <v>2605</v>
      </c>
      <c r="AT608" t="s">
        <v>3209</v>
      </c>
      <c r="AU608" s="642">
        <v>921030</v>
      </c>
    </row>
    <row r="609" spans="43:47" ht="12.9" x14ac:dyDescent="0.35">
      <c r="AQ609" s="641">
        <v>4743</v>
      </c>
      <c r="AR609" t="s">
        <v>3214</v>
      </c>
      <c r="AS609" t="s">
        <v>3215</v>
      </c>
      <c r="AT609" t="s">
        <v>3209</v>
      </c>
      <c r="AU609" s="642">
        <v>823898</v>
      </c>
    </row>
    <row r="610" spans="43:47" ht="12.9" x14ac:dyDescent="0.35">
      <c r="AQ610" s="641">
        <v>4761</v>
      </c>
      <c r="AR610" t="s">
        <v>3216</v>
      </c>
      <c r="AS610" t="s">
        <v>3217</v>
      </c>
      <c r="AT610" t="s">
        <v>3209</v>
      </c>
      <c r="AU610" s="642">
        <v>467481</v>
      </c>
    </row>
    <row r="611" spans="43:47" ht="12.9" x14ac:dyDescent="0.35">
      <c r="AQ611" s="641">
        <v>4765</v>
      </c>
      <c r="AR611" t="s">
        <v>3218</v>
      </c>
      <c r="AS611" t="s">
        <v>2694</v>
      </c>
      <c r="AT611" t="s">
        <v>3209</v>
      </c>
      <c r="AU611" s="642">
        <v>409343</v>
      </c>
    </row>
    <row r="612" spans="43:47" ht="12.9" x14ac:dyDescent="0.35">
      <c r="AQ612" s="641">
        <v>4773</v>
      </c>
      <c r="AR612" t="s">
        <v>3219</v>
      </c>
      <c r="AS612" t="s">
        <v>2346</v>
      </c>
      <c r="AT612" t="s">
        <v>3209</v>
      </c>
      <c r="AU612" s="642">
        <v>12951955</v>
      </c>
    </row>
    <row r="613" spans="43:47" ht="12.9" x14ac:dyDescent="0.35">
      <c r="AQ613" s="641">
        <v>4795</v>
      </c>
      <c r="AR613" t="s">
        <v>3220</v>
      </c>
      <c r="AS613" t="s">
        <v>3221</v>
      </c>
      <c r="AT613" t="s">
        <v>3209</v>
      </c>
      <c r="AU613" s="642">
        <v>1832801</v>
      </c>
    </row>
    <row r="614" spans="43:47" ht="12.9" x14ac:dyDescent="0.35">
      <c r="AQ614" s="641">
        <v>4799</v>
      </c>
      <c r="AR614" t="s">
        <v>3222</v>
      </c>
      <c r="AS614" t="s">
        <v>2872</v>
      </c>
      <c r="AT614" t="s">
        <v>3209</v>
      </c>
      <c r="AU614" s="642">
        <v>877178</v>
      </c>
    </row>
    <row r="615" spans="43:47" ht="12.9" x14ac:dyDescent="0.35">
      <c r="AQ615" s="641">
        <v>4800</v>
      </c>
      <c r="AR615" t="s">
        <v>3223</v>
      </c>
      <c r="AS615" t="s">
        <v>3224</v>
      </c>
      <c r="AT615" t="s">
        <v>3209</v>
      </c>
      <c r="AU615" s="642">
        <v>1063239</v>
      </c>
    </row>
    <row r="616" spans="43:47" ht="12.9" x14ac:dyDescent="0.35">
      <c r="AQ616" s="641">
        <v>4803</v>
      </c>
      <c r="AR616" t="s">
        <v>3225</v>
      </c>
      <c r="AS616" t="s">
        <v>3226</v>
      </c>
      <c r="AT616" t="s">
        <v>3209</v>
      </c>
      <c r="AU616" s="642">
        <v>35925492</v>
      </c>
    </row>
    <row r="617" spans="43:47" ht="12.9" x14ac:dyDescent="0.35">
      <c r="AQ617" s="641">
        <v>4851</v>
      </c>
      <c r="AR617" t="s">
        <v>3227</v>
      </c>
      <c r="AS617" t="s">
        <v>3228</v>
      </c>
      <c r="AT617" t="s">
        <v>3209</v>
      </c>
      <c r="AU617" s="642">
        <v>17629689</v>
      </c>
    </row>
    <row r="618" spans="43:47" ht="12.9" x14ac:dyDescent="0.35">
      <c r="AQ618" s="641">
        <v>4951</v>
      </c>
      <c r="AR618" t="s">
        <v>3229</v>
      </c>
      <c r="AS618" t="s">
        <v>2295</v>
      </c>
      <c r="AT618" t="s">
        <v>3209</v>
      </c>
      <c r="AU618" s="642">
        <v>44151403</v>
      </c>
    </row>
    <row r="619" spans="43:47" ht="12.9" x14ac:dyDescent="0.35">
      <c r="AQ619" s="641">
        <v>5003</v>
      </c>
      <c r="AR619" t="s">
        <v>3230</v>
      </c>
      <c r="AS619" t="s">
        <v>3231</v>
      </c>
      <c r="AT619" t="s">
        <v>3209</v>
      </c>
      <c r="AU619" s="642">
        <v>19253014</v>
      </c>
    </row>
    <row r="620" spans="43:47" ht="12.9" x14ac:dyDescent="0.35">
      <c r="AQ620" s="641">
        <v>5017</v>
      </c>
      <c r="AR620" t="s">
        <v>3232</v>
      </c>
      <c r="AS620" t="s">
        <v>3233</v>
      </c>
      <c r="AT620" t="s">
        <v>3209</v>
      </c>
      <c r="AU620" s="642">
        <v>935495</v>
      </c>
    </row>
    <row r="621" spans="43:47" ht="12.9" x14ac:dyDescent="0.35">
      <c r="AQ621" s="641">
        <v>5021</v>
      </c>
      <c r="AR621" t="s">
        <v>3234</v>
      </c>
      <c r="AS621" t="s">
        <v>3235</v>
      </c>
      <c r="AT621" t="s">
        <v>3209</v>
      </c>
      <c r="AU621" s="642">
        <v>703475</v>
      </c>
    </row>
    <row r="622" spans="43:47" ht="12.9" x14ac:dyDescent="0.35">
      <c r="AQ622" s="641">
        <v>5022</v>
      </c>
      <c r="AR622" t="s">
        <v>2374</v>
      </c>
      <c r="AS622" t="s">
        <v>3236</v>
      </c>
      <c r="AT622" t="s">
        <v>3209</v>
      </c>
      <c r="AU622" s="642">
        <v>1220838</v>
      </c>
    </row>
    <row r="623" spans="43:47" ht="12.9" x14ac:dyDescent="0.35">
      <c r="AQ623" s="641">
        <v>5024</v>
      </c>
      <c r="AR623" t="s">
        <v>3237</v>
      </c>
      <c r="AS623" t="s">
        <v>2224</v>
      </c>
      <c r="AT623" t="s">
        <v>3209</v>
      </c>
      <c r="AU623" s="642" t="s">
        <v>2059</v>
      </c>
    </row>
    <row r="624" spans="43:47" ht="12.9" x14ac:dyDescent="0.35">
      <c r="AQ624" s="641">
        <v>5025</v>
      </c>
      <c r="AR624" t="s">
        <v>3238</v>
      </c>
      <c r="AS624" t="s">
        <v>2483</v>
      </c>
      <c r="AT624" t="s">
        <v>3209</v>
      </c>
      <c r="AU624" s="642">
        <v>9710092</v>
      </c>
    </row>
    <row r="625" spans="43:47" ht="12.9" x14ac:dyDescent="0.35">
      <c r="AQ625" s="641">
        <v>5035</v>
      </c>
      <c r="AR625" t="s">
        <v>3239</v>
      </c>
      <c r="AS625" t="s">
        <v>3240</v>
      </c>
      <c r="AT625" t="s">
        <v>3209</v>
      </c>
      <c r="AU625" s="642">
        <v>1386209</v>
      </c>
    </row>
    <row r="626" spans="43:47" ht="12.9" x14ac:dyDescent="0.35">
      <c r="AQ626" s="641">
        <v>5036</v>
      </c>
      <c r="AR626" t="s">
        <v>3241</v>
      </c>
      <c r="AS626" t="s">
        <v>2412</v>
      </c>
      <c r="AT626" t="s">
        <v>3209</v>
      </c>
      <c r="AU626" s="642">
        <v>664703</v>
      </c>
    </row>
    <row r="627" spans="43:47" ht="12.9" x14ac:dyDescent="0.35">
      <c r="AQ627" s="641">
        <v>5039</v>
      </c>
      <c r="AR627" t="s">
        <v>3242</v>
      </c>
      <c r="AS627" t="s">
        <v>3243</v>
      </c>
      <c r="AT627" t="s">
        <v>3209</v>
      </c>
      <c r="AU627" s="642">
        <v>1382140</v>
      </c>
    </row>
    <row r="628" spans="43:47" ht="12.9" x14ac:dyDescent="0.35">
      <c r="AQ628" s="641">
        <v>5047</v>
      </c>
      <c r="AR628" t="s">
        <v>3244</v>
      </c>
      <c r="AS628" t="s">
        <v>3245</v>
      </c>
      <c r="AT628" t="s">
        <v>3209</v>
      </c>
      <c r="AU628" s="642">
        <v>3581012</v>
      </c>
    </row>
    <row r="629" spans="43:47" ht="12.9" x14ac:dyDescent="0.35">
      <c r="AQ629" s="641">
        <v>5051</v>
      </c>
      <c r="AR629" t="s">
        <v>3246</v>
      </c>
      <c r="AS629" t="s">
        <v>3247</v>
      </c>
      <c r="AT629" t="s">
        <v>3209</v>
      </c>
      <c r="AU629" s="642">
        <v>1054512</v>
      </c>
    </row>
    <row r="630" spans="43:47" ht="12.9" x14ac:dyDescent="0.35">
      <c r="AQ630" s="641">
        <v>5059</v>
      </c>
      <c r="AR630" t="s">
        <v>3248</v>
      </c>
      <c r="AS630" t="s">
        <v>2858</v>
      </c>
      <c r="AT630" t="s">
        <v>3209</v>
      </c>
      <c r="AU630" s="642">
        <v>1860979</v>
      </c>
    </row>
    <row r="631" spans="43:47" ht="12.9" x14ac:dyDescent="0.35">
      <c r="AQ631" s="641">
        <v>5063</v>
      </c>
      <c r="AR631" t="s">
        <v>3249</v>
      </c>
      <c r="AS631" t="s">
        <v>3003</v>
      </c>
      <c r="AT631" t="s">
        <v>3209</v>
      </c>
      <c r="AU631" s="642">
        <v>12268947</v>
      </c>
    </row>
    <row r="632" spans="43:47" ht="12.9" x14ac:dyDescent="0.35">
      <c r="AQ632" s="641">
        <v>5067</v>
      </c>
      <c r="AR632" t="s">
        <v>3250</v>
      </c>
      <c r="AS632" t="s">
        <v>3251</v>
      </c>
      <c r="AT632" t="s">
        <v>3209</v>
      </c>
      <c r="AU632" s="642">
        <v>7372516</v>
      </c>
    </row>
    <row r="633" spans="43:47" ht="12.9" x14ac:dyDescent="0.35">
      <c r="AQ633" s="641">
        <v>5081</v>
      </c>
      <c r="AR633" t="s">
        <v>3252</v>
      </c>
      <c r="AS633" t="s">
        <v>2796</v>
      </c>
      <c r="AT633" t="s">
        <v>3209</v>
      </c>
      <c r="AU633" s="642">
        <v>334461</v>
      </c>
    </row>
    <row r="634" spans="43:47" ht="12.9" x14ac:dyDescent="0.35">
      <c r="AQ634" s="641">
        <v>5083</v>
      </c>
      <c r="AR634" t="s">
        <v>3253</v>
      </c>
      <c r="AS634" t="s">
        <v>3254</v>
      </c>
      <c r="AT634" t="s">
        <v>3209</v>
      </c>
      <c r="AU634" s="642">
        <v>2238749</v>
      </c>
    </row>
    <row r="635" spans="43:47" ht="12.9" x14ac:dyDescent="0.35">
      <c r="AQ635" s="641">
        <v>5085</v>
      </c>
      <c r="AR635" t="s">
        <v>3255</v>
      </c>
      <c r="AS635" t="s">
        <v>3256</v>
      </c>
      <c r="AT635" t="s">
        <v>3209</v>
      </c>
      <c r="AU635" s="642">
        <v>612775</v>
      </c>
    </row>
    <row r="636" spans="43:47" ht="12.9" x14ac:dyDescent="0.35">
      <c r="AQ636" s="641">
        <v>5087</v>
      </c>
      <c r="AR636" t="s">
        <v>3257</v>
      </c>
      <c r="AS636" t="s">
        <v>3258</v>
      </c>
      <c r="AT636" t="s">
        <v>3209</v>
      </c>
      <c r="AU636" s="642">
        <v>2660121</v>
      </c>
    </row>
    <row r="637" spans="43:47" ht="12.9" x14ac:dyDescent="0.35">
      <c r="AQ637" s="641">
        <v>5095</v>
      </c>
      <c r="AR637" t="s">
        <v>3259</v>
      </c>
      <c r="AS637" t="s">
        <v>3260</v>
      </c>
      <c r="AT637" t="s">
        <v>3209</v>
      </c>
      <c r="AU637" s="642">
        <v>3650481</v>
      </c>
    </row>
    <row r="638" spans="43:47" ht="12.9" x14ac:dyDescent="0.35">
      <c r="AQ638" s="641">
        <v>5099</v>
      </c>
      <c r="AR638" t="s">
        <v>3261</v>
      </c>
      <c r="AS638" t="s">
        <v>3262</v>
      </c>
      <c r="AT638" t="s">
        <v>3209</v>
      </c>
      <c r="AU638" s="642">
        <v>1076250</v>
      </c>
    </row>
    <row r="639" spans="43:47" ht="12.9" x14ac:dyDescent="0.35">
      <c r="AQ639" s="641">
        <v>5103</v>
      </c>
      <c r="AR639" t="s">
        <v>3263</v>
      </c>
      <c r="AS639" t="s">
        <v>3264</v>
      </c>
      <c r="AT639" t="s">
        <v>3209</v>
      </c>
      <c r="AU639" s="642">
        <v>1730047</v>
      </c>
    </row>
    <row r="640" spans="43:47" ht="12.9" x14ac:dyDescent="0.35">
      <c r="AQ640" s="641">
        <v>5107</v>
      </c>
      <c r="AR640" t="s">
        <v>3265</v>
      </c>
      <c r="AS640" t="s">
        <v>2511</v>
      </c>
      <c r="AT640" t="s">
        <v>3209</v>
      </c>
      <c r="AU640" s="642">
        <v>2081592</v>
      </c>
    </row>
    <row r="641" spans="43:47" ht="12.9" x14ac:dyDescent="0.35">
      <c r="AQ641" s="641">
        <v>5109</v>
      </c>
      <c r="AR641" t="s">
        <v>3266</v>
      </c>
      <c r="AS641" t="s">
        <v>3267</v>
      </c>
      <c r="AT641" t="s">
        <v>3209</v>
      </c>
      <c r="AU641" s="642">
        <v>1531205</v>
      </c>
    </row>
    <row r="642" spans="43:47" ht="12.9" x14ac:dyDescent="0.35">
      <c r="AQ642" s="641">
        <v>5111</v>
      </c>
      <c r="AR642" t="s">
        <v>3268</v>
      </c>
      <c r="AS642" t="s">
        <v>3269</v>
      </c>
      <c r="AT642" t="s">
        <v>3209</v>
      </c>
      <c r="AU642" s="642">
        <v>1380209</v>
      </c>
    </row>
    <row r="643" spans="43:47" ht="12.9" x14ac:dyDescent="0.35">
      <c r="AQ643" s="641">
        <v>5123</v>
      </c>
      <c r="AR643" t="s">
        <v>3270</v>
      </c>
      <c r="AS643" t="s">
        <v>3271</v>
      </c>
      <c r="AT643" t="s">
        <v>3209</v>
      </c>
      <c r="AU643" s="642">
        <v>872524</v>
      </c>
    </row>
    <row r="644" spans="43:47" ht="12.9" x14ac:dyDescent="0.35">
      <c r="AQ644" s="641">
        <v>5127</v>
      </c>
      <c r="AR644" t="s">
        <v>3272</v>
      </c>
      <c r="AS644" t="s">
        <v>3022</v>
      </c>
      <c r="AT644" t="s">
        <v>3209</v>
      </c>
      <c r="AU644" s="642">
        <v>3688016</v>
      </c>
    </row>
    <row r="645" spans="43:47" ht="12.9" x14ac:dyDescent="0.35">
      <c r="AQ645" s="641">
        <v>5155</v>
      </c>
      <c r="AR645" t="s">
        <v>3273</v>
      </c>
      <c r="AS645" t="s">
        <v>3274</v>
      </c>
      <c r="AT645" t="s">
        <v>3209</v>
      </c>
      <c r="AU645" s="642">
        <v>3227201</v>
      </c>
    </row>
    <row r="646" spans="43:47" ht="12.9" x14ac:dyDescent="0.35">
      <c r="AQ646" s="641">
        <v>5163</v>
      </c>
      <c r="AR646" t="s">
        <v>3275</v>
      </c>
      <c r="AS646" t="s">
        <v>3276</v>
      </c>
      <c r="AT646" t="s">
        <v>3209</v>
      </c>
      <c r="AU646" s="642">
        <v>1102004</v>
      </c>
    </row>
    <row r="647" spans="43:47" ht="12.9" x14ac:dyDescent="0.35">
      <c r="AQ647" s="641">
        <v>5167</v>
      </c>
      <c r="AR647" t="s">
        <v>3277</v>
      </c>
      <c r="AS647" t="s">
        <v>2928</v>
      </c>
      <c r="AT647" t="s">
        <v>3209</v>
      </c>
      <c r="AU647" s="642">
        <v>983805</v>
      </c>
    </row>
    <row r="648" spans="43:47" ht="12.9" x14ac:dyDescent="0.35">
      <c r="AQ648" s="641">
        <v>5171</v>
      </c>
      <c r="AR648" t="s">
        <v>3278</v>
      </c>
      <c r="AS648" t="s">
        <v>3155</v>
      </c>
      <c r="AT648" t="s">
        <v>3209</v>
      </c>
      <c r="AU648" s="642" t="s">
        <v>2059</v>
      </c>
    </row>
    <row r="649" spans="43:47" ht="12.9" x14ac:dyDescent="0.35">
      <c r="AQ649" s="641">
        <v>5175</v>
      </c>
      <c r="AR649" t="s">
        <v>3279</v>
      </c>
      <c r="AS649" t="s">
        <v>3280</v>
      </c>
      <c r="AT649" t="s">
        <v>3209</v>
      </c>
      <c r="AU649" s="642">
        <v>2270571</v>
      </c>
    </row>
    <row r="650" spans="43:47" ht="12.9" x14ac:dyDescent="0.35">
      <c r="AQ650" s="641">
        <v>5178</v>
      </c>
      <c r="AR650" t="s">
        <v>3281</v>
      </c>
      <c r="AS650" t="s">
        <v>2424</v>
      </c>
      <c r="AT650" t="s">
        <v>3209</v>
      </c>
      <c r="AU650" s="642">
        <v>1543945</v>
      </c>
    </row>
    <row r="651" spans="43:47" ht="12.9" x14ac:dyDescent="0.35">
      <c r="AQ651" s="641">
        <v>5180</v>
      </c>
      <c r="AR651" t="s">
        <v>3282</v>
      </c>
      <c r="AS651" t="s">
        <v>3283</v>
      </c>
      <c r="AT651" t="s">
        <v>3209</v>
      </c>
      <c r="AU651" s="642">
        <v>1410934</v>
      </c>
    </row>
    <row r="652" spans="43:47" ht="12.9" x14ac:dyDescent="0.35">
      <c r="AQ652" s="641">
        <v>5191</v>
      </c>
      <c r="AR652" t="s">
        <v>3284</v>
      </c>
      <c r="AS652" t="s">
        <v>3285</v>
      </c>
      <c r="AT652" t="s">
        <v>3209</v>
      </c>
      <c r="AU652" s="642" t="s">
        <v>2059</v>
      </c>
    </row>
    <row r="653" spans="43:47" ht="12.9" x14ac:dyDescent="0.35">
      <c r="AQ653" s="641">
        <v>5203</v>
      </c>
      <c r="AR653" t="s">
        <v>3286</v>
      </c>
      <c r="AS653" t="s">
        <v>3287</v>
      </c>
      <c r="AT653" t="s">
        <v>3209</v>
      </c>
      <c r="AU653" s="642">
        <v>1034407</v>
      </c>
    </row>
    <row r="654" spans="43:47" ht="12.9" x14ac:dyDescent="0.35">
      <c r="AQ654" s="641">
        <v>5207</v>
      </c>
      <c r="AR654" t="s">
        <v>3288</v>
      </c>
      <c r="AS654" t="s">
        <v>3289</v>
      </c>
      <c r="AT654" t="s">
        <v>3209</v>
      </c>
      <c r="AU654" s="642">
        <v>32670554</v>
      </c>
    </row>
    <row r="655" spans="43:47" ht="12.9" x14ac:dyDescent="0.35">
      <c r="AQ655" s="641">
        <v>5243</v>
      </c>
      <c r="AR655" t="s">
        <v>3290</v>
      </c>
      <c r="AS655" t="s">
        <v>3291</v>
      </c>
      <c r="AT655" t="s">
        <v>3209</v>
      </c>
      <c r="AU655" s="642">
        <v>1579827</v>
      </c>
    </row>
    <row r="656" spans="43:47" ht="12.9" x14ac:dyDescent="0.35">
      <c r="AQ656" s="641">
        <v>5247</v>
      </c>
      <c r="AR656" t="s">
        <v>3292</v>
      </c>
      <c r="AS656" t="s">
        <v>3293</v>
      </c>
      <c r="AT656" t="s">
        <v>3209</v>
      </c>
      <c r="AU656" s="642">
        <v>780026</v>
      </c>
    </row>
    <row r="657" spans="43:47" ht="12.9" x14ac:dyDescent="0.35">
      <c r="AQ657" s="641">
        <v>5250</v>
      </c>
      <c r="AR657" t="s">
        <v>3294</v>
      </c>
      <c r="AS657" t="s">
        <v>3295</v>
      </c>
      <c r="AT657" t="s">
        <v>3209</v>
      </c>
      <c r="AU657" s="642">
        <v>834522</v>
      </c>
    </row>
    <row r="658" spans="43:47" ht="12.9" x14ac:dyDescent="0.35">
      <c r="AQ658" s="641">
        <v>5254</v>
      </c>
      <c r="AR658" t="s">
        <v>3296</v>
      </c>
      <c r="AS658" t="s">
        <v>3297</v>
      </c>
      <c r="AT658" t="s">
        <v>3209</v>
      </c>
      <c r="AU658" s="642">
        <v>2322808</v>
      </c>
    </row>
    <row r="659" spans="43:47" ht="12.9" x14ac:dyDescent="0.35">
      <c r="AQ659" s="641">
        <v>5259</v>
      </c>
      <c r="AR659" t="s">
        <v>3298</v>
      </c>
      <c r="AS659" t="s">
        <v>3299</v>
      </c>
      <c r="AT659" t="s">
        <v>3209</v>
      </c>
      <c r="AU659" s="642">
        <v>1502999</v>
      </c>
    </row>
    <row r="660" spans="43:47" ht="12.9" x14ac:dyDescent="0.35">
      <c r="AQ660" s="641">
        <v>5260</v>
      </c>
      <c r="AR660" t="s">
        <v>3300</v>
      </c>
      <c r="AS660" t="s">
        <v>3301</v>
      </c>
      <c r="AT660" t="s">
        <v>3209</v>
      </c>
      <c r="AU660" s="642">
        <v>788306</v>
      </c>
    </row>
    <row r="661" spans="43:47" ht="12.9" x14ac:dyDescent="0.35">
      <c r="AQ661" s="641">
        <v>5267</v>
      </c>
      <c r="AR661" t="s">
        <v>3302</v>
      </c>
      <c r="AS661" t="s">
        <v>3303</v>
      </c>
      <c r="AT661" t="s">
        <v>3209</v>
      </c>
      <c r="AU661" s="642">
        <v>8581363</v>
      </c>
    </row>
    <row r="662" spans="43:47" ht="12.9" x14ac:dyDescent="0.35">
      <c r="AQ662" s="641">
        <v>5280</v>
      </c>
      <c r="AR662" t="s">
        <v>3304</v>
      </c>
      <c r="AS662" t="s">
        <v>3305</v>
      </c>
      <c r="AT662" t="s">
        <v>3209</v>
      </c>
      <c r="AU662" s="642">
        <v>862360</v>
      </c>
    </row>
    <row r="663" spans="43:47" ht="12.9" x14ac:dyDescent="0.35">
      <c r="AQ663" s="641">
        <v>5283</v>
      </c>
      <c r="AR663" t="s">
        <v>3306</v>
      </c>
      <c r="AS663" t="s">
        <v>3307</v>
      </c>
      <c r="AT663" t="s">
        <v>3209</v>
      </c>
      <c r="AU663" s="642">
        <v>416488</v>
      </c>
    </row>
    <row r="664" spans="43:47" ht="12.9" x14ac:dyDescent="0.35">
      <c r="AQ664" s="641">
        <v>5287</v>
      </c>
      <c r="AR664" t="s">
        <v>3308</v>
      </c>
      <c r="AS664" t="s">
        <v>3309</v>
      </c>
      <c r="AT664" t="s">
        <v>3310</v>
      </c>
      <c r="AU664" s="642">
        <v>1369575</v>
      </c>
    </row>
    <row r="665" spans="43:47" ht="12.9" x14ac:dyDescent="0.35">
      <c r="AQ665" s="641">
        <v>5291</v>
      </c>
      <c r="AR665" t="s">
        <v>3311</v>
      </c>
      <c r="AS665" t="s">
        <v>3312</v>
      </c>
      <c r="AT665" t="s">
        <v>3310</v>
      </c>
      <c r="AU665" s="642">
        <v>782378</v>
      </c>
    </row>
    <row r="666" spans="43:47" ht="12.9" x14ac:dyDescent="0.35">
      <c r="AQ666" s="641">
        <v>5297</v>
      </c>
      <c r="AR666" t="s">
        <v>3313</v>
      </c>
      <c r="AS666" t="s">
        <v>3314</v>
      </c>
      <c r="AT666" t="s">
        <v>3310</v>
      </c>
      <c r="AU666" s="642">
        <v>1784227</v>
      </c>
    </row>
    <row r="667" spans="43:47" ht="12.9" x14ac:dyDescent="0.35">
      <c r="AQ667" s="641">
        <v>5299</v>
      </c>
      <c r="AR667" t="s">
        <v>3315</v>
      </c>
      <c r="AS667" t="s">
        <v>3316</v>
      </c>
      <c r="AT667" t="s">
        <v>3310</v>
      </c>
      <c r="AU667" s="642">
        <v>440245</v>
      </c>
    </row>
    <row r="668" spans="43:47" ht="12.9" x14ac:dyDescent="0.35">
      <c r="AQ668" s="641">
        <v>5301</v>
      </c>
      <c r="AR668" t="s">
        <v>3317</v>
      </c>
      <c r="AS668" t="s">
        <v>3318</v>
      </c>
      <c r="AT668" t="s">
        <v>3310</v>
      </c>
      <c r="AU668" s="642">
        <v>1520309</v>
      </c>
    </row>
    <row r="669" spans="43:47" ht="12.9" x14ac:dyDescent="0.35">
      <c r="AQ669" s="641">
        <v>5310</v>
      </c>
      <c r="AR669" t="s">
        <v>3319</v>
      </c>
      <c r="AS669" t="s">
        <v>3320</v>
      </c>
      <c r="AT669" t="s">
        <v>3310</v>
      </c>
      <c r="AU669" s="642">
        <v>1409558</v>
      </c>
    </row>
    <row r="670" spans="43:47" ht="12.9" x14ac:dyDescent="0.35">
      <c r="AQ670" s="641">
        <v>5311</v>
      </c>
      <c r="AR670" t="s">
        <v>3154</v>
      </c>
      <c r="AS670" t="s">
        <v>3321</v>
      </c>
      <c r="AT670" t="s">
        <v>3310</v>
      </c>
      <c r="AU670" s="642">
        <v>3614920</v>
      </c>
    </row>
    <row r="671" spans="43:47" ht="12.9" x14ac:dyDescent="0.35">
      <c r="AQ671" s="641">
        <v>5313</v>
      </c>
      <c r="AR671" t="s">
        <v>3322</v>
      </c>
      <c r="AS671" t="s">
        <v>3323</v>
      </c>
      <c r="AT671" t="s">
        <v>3310</v>
      </c>
      <c r="AU671" s="642">
        <v>17590688</v>
      </c>
    </row>
    <row r="672" spans="43:47" ht="12.9" x14ac:dyDescent="0.35">
      <c r="AQ672" s="641">
        <v>5348</v>
      </c>
      <c r="AR672" t="s">
        <v>3324</v>
      </c>
      <c r="AS672" t="s">
        <v>3325</v>
      </c>
      <c r="AT672" t="s">
        <v>3310</v>
      </c>
      <c r="AU672" s="642">
        <v>347246</v>
      </c>
    </row>
    <row r="673" spans="43:47" ht="12.9" x14ac:dyDescent="0.35">
      <c r="AQ673" s="641">
        <v>5349</v>
      </c>
      <c r="AR673" t="s">
        <v>3326</v>
      </c>
      <c r="AS673" t="s">
        <v>3327</v>
      </c>
      <c r="AT673" t="s">
        <v>3310</v>
      </c>
      <c r="AU673" s="642">
        <v>748388</v>
      </c>
    </row>
    <row r="674" spans="43:47" ht="12.9" x14ac:dyDescent="0.35">
      <c r="AQ674" s="641">
        <v>5351</v>
      </c>
      <c r="AR674" t="s">
        <v>3328</v>
      </c>
      <c r="AS674" t="s">
        <v>3329</v>
      </c>
      <c r="AT674" t="s">
        <v>3310</v>
      </c>
      <c r="AU674" s="642">
        <v>393664</v>
      </c>
    </row>
    <row r="675" spans="43:47" ht="12.9" x14ac:dyDescent="0.35">
      <c r="AQ675" s="641">
        <v>5353</v>
      </c>
      <c r="AR675" t="s">
        <v>3330</v>
      </c>
      <c r="AS675" t="s">
        <v>3331</v>
      </c>
      <c r="AT675" t="s">
        <v>3310</v>
      </c>
      <c r="AU675" s="642">
        <v>957304</v>
      </c>
    </row>
    <row r="676" spans="43:47" ht="12.9" x14ac:dyDescent="0.35">
      <c r="AQ676" s="641">
        <v>5357</v>
      </c>
      <c r="AR676" t="s">
        <v>3332</v>
      </c>
      <c r="AS676" t="s">
        <v>3333</v>
      </c>
      <c r="AT676" t="s">
        <v>3310</v>
      </c>
      <c r="AU676" s="642">
        <v>836516</v>
      </c>
    </row>
    <row r="677" spans="43:47" ht="12.9" x14ac:dyDescent="0.35">
      <c r="AQ677" s="641">
        <v>5361</v>
      </c>
      <c r="AR677" t="s">
        <v>3334</v>
      </c>
      <c r="AS677" t="s">
        <v>3335</v>
      </c>
      <c r="AT677" t="s">
        <v>3310</v>
      </c>
      <c r="AU677" s="642">
        <v>8855033</v>
      </c>
    </row>
    <row r="678" spans="43:47" ht="12.9" x14ac:dyDescent="0.35">
      <c r="AQ678" s="641">
        <v>5387</v>
      </c>
      <c r="AR678" t="s">
        <v>3336</v>
      </c>
      <c r="AS678" t="s">
        <v>3337</v>
      </c>
      <c r="AT678" t="s">
        <v>3310</v>
      </c>
      <c r="AU678" s="642">
        <v>1088760</v>
      </c>
    </row>
    <row r="679" spans="43:47" ht="12.9" x14ac:dyDescent="0.35">
      <c r="AQ679" s="641">
        <v>5389</v>
      </c>
      <c r="AR679" t="s">
        <v>3338</v>
      </c>
      <c r="AS679" t="s">
        <v>2605</v>
      </c>
      <c r="AT679" t="s">
        <v>3339</v>
      </c>
      <c r="AU679" s="642">
        <v>3576680</v>
      </c>
    </row>
    <row r="680" spans="43:47" ht="12.9" x14ac:dyDescent="0.35">
      <c r="AQ680" s="641">
        <v>5395</v>
      </c>
      <c r="AR680" t="s">
        <v>3340</v>
      </c>
      <c r="AS680" t="s">
        <v>3341</v>
      </c>
      <c r="AT680" t="s">
        <v>3339</v>
      </c>
      <c r="AU680" s="642">
        <v>524970</v>
      </c>
    </row>
    <row r="681" spans="43:47" ht="12.9" x14ac:dyDescent="0.35">
      <c r="AQ681" s="641">
        <v>5405</v>
      </c>
      <c r="AR681" t="s">
        <v>3342</v>
      </c>
      <c r="AS681" t="s">
        <v>3343</v>
      </c>
      <c r="AT681" t="s">
        <v>3339</v>
      </c>
      <c r="AU681" s="642">
        <v>3276221</v>
      </c>
    </row>
    <row r="682" spans="43:47" ht="12.9" x14ac:dyDescent="0.35">
      <c r="AQ682" s="641">
        <v>5411</v>
      </c>
      <c r="AR682" t="s">
        <v>3344</v>
      </c>
      <c r="AS682" t="s">
        <v>3345</v>
      </c>
      <c r="AT682" t="s">
        <v>3339</v>
      </c>
      <c r="AU682" s="642">
        <v>2390321</v>
      </c>
    </row>
    <row r="683" spans="43:47" ht="12.9" x14ac:dyDescent="0.35">
      <c r="AQ683" s="641">
        <v>5413</v>
      </c>
      <c r="AR683" t="s">
        <v>3346</v>
      </c>
      <c r="AS683" t="s">
        <v>3347</v>
      </c>
      <c r="AT683" t="s">
        <v>3339</v>
      </c>
      <c r="AU683" s="642">
        <v>1145808</v>
      </c>
    </row>
    <row r="684" spans="43:47" ht="12.9" x14ac:dyDescent="0.35">
      <c r="AQ684" s="641">
        <v>5417</v>
      </c>
      <c r="AR684" t="s">
        <v>3348</v>
      </c>
      <c r="AS684" t="s">
        <v>3001</v>
      </c>
      <c r="AT684" t="s">
        <v>3339</v>
      </c>
      <c r="AU684" s="642">
        <v>2035028</v>
      </c>
    </row>
    <row r="685" spans="43:47" ht="12.9" x14ac:dyDescent="0.35">
      <c r="AQ685" s="641">
        <v>5421</v>
      </c>
      <c r="AR685" t="s">
        <v>3349</v>
      </c>
      <c r="AS685" t="s">
        <v>2284</v>
      </c>
      <c r="AT685" t="s">
        <v>3339</v>
      </c>
      <c r="AU685" s="642">
        <v>1127862</v>
      </c>
    </row>
    <row r="686" spans="43:47" ht="12.9" x14ac:dyDescent="0.35">
      <c r="AQ686" s="641">
        <v>5425</v>
      </c>
      <c r="AR686" t="s">
        <v>3350</v>
      </c>
      <c r="AS686" t="s">
        <v>2685</v>
      </c>
      <c r="AT686" t="s">
        <v>3339</v>
      </c>
      <c r="AU686" s="642">
        <v>23705589</v>
      </c>
    </row>
    <row r="687" spans="43:47" ht="12.9" x14ac:dyDescent="0.35">
      <c r="AQ687" s="641">
        <v>5457</v>
      </c>
      <c r="AR687" t="s">
        <v>3351</v>
      </c>
      <c r="AS687" t="s">
        <v>3352</v>
      </c>
      <c r="AT687" t="s">
        <v>3339</v>
      </c>
      <c r="AU687" s="642">
        <v>2258959</v>
      </c>
    </row>
    <row r="688" spans="43:47" ht="12.9" x14ac:dyDescent="0.35">
      <c r="AQ688" s="641">
        <v>5461</v>
      </c>
      <c r="AR688" t="s">
        <v>3353</v>
      </c>
      <c r="AS688" t="s">
        <v>2485</v>
      </c>
      <c r="AT688" t="s">
        <v>3339</v>
      </c>
      <c r="AU688" s="642">
        <v>5169197</v>
      </c>
    </row>
    <row r="689" spans="43:47" ht="12.9" x14ac:dyDescent="0.35">
      <c r="AQ689" s="641">
        <v>5465</v>
      </c>
      <c r="AR689" t="s">
        <v>3354</v>
      </c>
      <c r="AS689" t="s">
        <v>3355</v>
      </c>
      <c r="AT689" t="s">
        <v>3339</v>
      </c>
      <c r="AU689" s="642">
        <v>965175</v>
      </c>
    </row>
    <row r="690" spans="43:47" ht="12.9" x14ac:dyDescent="0.35">
      <c r="AQ690" s="641">
        <v>5478</v>
      </c>
      <c r="AR690" t="s">
        <v>3356</v>
      </c>
      <c r="AS690" t="s">
        <v>3357</v>
      </c>
      <c r="AT690" t="s">
        <v>3358</v>
      </c>
      <c r="AU690" s="642">
        <v>5473535</v>
      </c>
    </row>
    <row r="691" spans="43:47" ht="12.9" x14ac:dyDescent="0.35">
      <c r="AQ691" s="641">
        <v>5485</v>
      </c>
      <c r="AR691" t="s">
        <v>3359</v>
      </c>
      <c r="AS691" t="s">
        <v>3360</v>
      </c>
      <c r="AT691" t="s">
        <v>3358</v>
      </c>
      <c r="AU691" s="642">
        <v>330796</v>
      </c>
    </row>
    <row r="692" spans="43:47" ht="12.9" x14ac:dyDescent="0.35">
      <c r="AQ692" s="641">
        <v>5489</v>
      </c>
      <c r="AR692" t="s">
        <v>3361</v>
      </c>
      <c r="AS692" t="s">
        <v>3362</v>
      </c>
      <c r="AT692" t="s">
        <v>3358</v>
      </c>
      <c r="AU692" s="642">
        <v>1316070</v>
      </c>
    </row>
    <row r="693" spans="43:47" ht="12.9" x14ac:dyDescent="0.35">
      <c r="AQ693" s="641">
        <v>5493</v>
      </c>
      <c r="AR693" t="s">
        <v>3363</v>
      </c>
      <c r="AS693" t="s">
        <v>3364</v>
      </c>
      <c r="AT693" t="s">
        <v>3358</v>
      </c>
      <c r="AU693" s="642">
        <v>919965</v>
      </c>
    </row>
    <row r="694" spans="43:47" ht="12.9" x14ac:dyDescent="0.35">
      <c r="AQ694" s="641">
        <v>5501</v>
      </c>
      <c r="AR694" t="s">
        <v>3365</v>
      </c>
      <c r="AS694" t="s">
        <v>3366</v>
      </c>
      <c r="AT694" t="s">
        <v>3358</v>
      </c>
      <c r="AU694" s="642">
        <v>1699560</v>
      </c>
    </row>
    <row r="695" spans="43:47" ht="12.9" x14ac:dyDescent="0.35">
      <c r="AQ695" s="641">
        <v>5505</v>
      </c>
      <c r="AR695" t="s">
        <v>3367</v>
      </c>
      <c r="AS695" t="s">
        <v>3368</v>
      </c>
      <c r="AT695" t="s">
        <v>3358</v>
      </c>
      <c r="AU695" s="642">
        <v>992753</v>
      </c>
    </row>
    <row r="696" spans="43:47" ht="12.9" x14ac:dyDescent="0.35">
      <c r="AQ696" s="641">
        <v>5509</v>
      </c>
      <c r="AR696" t="s">
        <v>3369</v>
      </c>
      <c r="AS696" t="s">
        <v>3370</v>
      </c>
      <c r="AT696" t="s">
        <v>3358</v>
      </c>
      <c r="AU696" s="642">
        <v>2657632</v>
      </c>
    </row>
    <row r="697" spans="43:47" ht="12.9" x14ac:dyDescent="0.35">
      <c r="AQ697" s="641">
        <v>5521</v>
      </c>
      <c r="AR697" t="s">
        <v>3371</v>
      </c>
      <c r="AS697" t="s">
        <v>3372</v>
      </c>
      <c r="AT697" t="s">
        <v>3358</v>
      </c>
      <c r="AU697" s="642">
        <v>642600</v>
      </c>
    </row>
    <row r="698" spans="43:47" ht="12.9" x14ac:dyDescent="0.35">
      <c r="AQ698" s="641">
        <v>5525</v>
      </c>
      <c r="AR698" t="s">
        <v>3373</v>
      </c>
      <c r="AS698" t="s">
        <v>3374</v>
      </c>
      <c r="AT698" t="s">
        <v>3358</v>
      </c>
      <c r="AU698" s="642">
        <v>725820</v>
      </c>
    </row>
    <row r="699" spans="43:47" ht="12.9" x14ac:dyDescent="0.35">
      <c r="AQ699" s="641">
        <v>5529</v>
      </c>
      <c r="AR699" t="s">
        <v>3375</v>
      </c>
      <c r="AS699" t="s">
        <v>3376</v>
      </c>
      <c r="AT699" t="s">
        <v>3358</v>
      </c>
      <c r="AU699" s="642">
        <v>6563948</v>
      </c>
    </row>
    <row r="700" spans="43:47" ht="12.9" x14ac:dyDescent="0.35">
      <c r="AQ700" s="641">
        <v>5533</v>
      </c>
      <c r="AR700" t="s">
        <v>3377</v>
      </c>
      <c r="AS700" t="s">
        <v>3378</v>
      </c>
      <c r="AT700" t="s">
        <v>3358</v>
      </c>
      <c r="AU700" s="642">
        <v>786644</v>
      </c>
    </row>
    <row r="701" spans="43:47" ht="12.9" x14ac:dyDescent="0.35">
      <c r="AQ701" s="641">
        <v>5534</v>
      </c>
      <c r="AR701" t="s">
        <v>3379</v>
      </c>
      <c r="AS701" t="s">
        <v>3380</v>
      </c>
      <c r="AT701" t="s">
        <v>3358</v>
      </c>
      <c r="AU701" s="642">
        <v>349772</v>
      </c>
    </row>
    <row r="702" spans="43:47" ht="12.9" x14ac:dyDescent="0.35">
      <c r="AQ702" s="641">
        <v>5545</v>
      </c>
      <c r="AR702" t="s">
        <v>3381</v>
      </c>
      <c r="AS702" t="s">
        <v>3382</v>
      </c>
      <c r="AT702" t="s">
        <v>3358</v>
      </c>
      <c r="AU702" s="642">
        <v>2788168</v>
      </c>
    </row>
    <row r="703" spans="43:47" ht="12.9" x14ac:dyDescent="0.35">
      <c r="AQ703" s="641">
        <v>5549</v>
      </c>
      <c r="AR703" t="s">
        <v>3383</v>
      </c>
      <c r="AS703" t="s">
        <v>3384</v>
      </c>
      <c r="AT703" t="s">
        <v>3358</v>
      </c>
      <c r="AU703" s="642">
        <v>2001381</v>
      </c>
    </row>
    <row r="704" spans="43:47" ht="12.9" x14ac:dyDescent="0.35">
      <c r="AQ704" s="641">
        <v>5561</v>
      </c>
      <c r="AR704" t="s">
        <v>3385</v>
      </c>
      <c r="AS704" t="s">
        <v>3386</v>
      </c>
      <c r="AT704" t="s">
        <v>3358</v>
      </c>
      <c r="AU704" s="642">
        <v>762282</v>
      </c>
    </row>
    <row r="705" spans="43:47" ht="12.9" x14ac:dyDescent="0.35">
      <c r="AQ705" s="641">
        <v>5563</v>
      </c>
      <c r="AR705" t="s">
        <v>3387</v>
      </c>
      <c r="AS705" t="s">
        <v>3388</v>
      </c>
      <c r="AT705" t="s">
        <v>3358</v>
      </c>
      <c r="AU705" s="642">
        <v>374072</v>
      </c>
    </row>
    <row r="706" spans="43:47" ht="12.9" x14ac:dyDescent="0.35">
      <c r="AQ706" s="641">
        <v>5565</v>
      </c>
      <c r="AR706" t="s">
        <v>3389</v>
      </c>
      <c r="AS706" t="s">
        <v>3390</v>
      </c>
      <c r="AT706" t="s">
        <v>3358</v>
      </c>
      <c r="AU706" s="642">
        <v>24303188</v>
      </c>
    </row>
    <row r="707" spans="43:47" ht="12.9" x14ac:dyDescent="0.35">
      <c r="AQ707" s="641">
        <v>5575</v>
      </c>
      <c r="AR707" t="s">
        <v>3391</v>
      </c>
      <c r="AS707" t="s">
        <v>3392</v>
      </c>
      <c r="AT707" t="s">
        <v>3358</v>
      </c>
      <c r="AU707" s="642">
        <v>560127</v>
      </c>
    </row>
    <row r="708" spans="43:47" ht="12.9" x14ac:dyDescent="0.35">
      <c r="AQ708" s="641">
        <v>5583</v>
      </c>
      <c r="AR708" t="s">
        <v>3393</v>
      </c>
      <c r="AS708" t="s">
        <v>3394</v>
      </c>
      <c r="AT708" t="s">
        <v>3358</v>
      </c>
      <c r="AU708" s="642">
        <v>1182996</v>
      </c>
    </row>
    <row r="709" spans="43:47" ht="12.9" x14ac:dyDescent="0.35">
      <c r="AQ709" s="641">
        <v>5587</v>
      </c>
      <c r="AR709" t="s">
        <v>3395</v>
      </c>
      <c r="AS709" t="s">
        <v>2704</v>
      </c>
      <c r="AT709" t="s">
        <v>3358</v>
      </c>
      <c r="AU709" s="642">
        <v>4530697</v>
      </c>
    </row>
    <row r="710" spans="43:47" ht="12.9" x14ac:dyDescent="0.35">
      <c r="AQ710" s="641">
        <v>5591</v>
      </c>
      <c r="AR710" t="s">
        <v>3396</v>
      </c>
      <c r="AS710" t="s">
        <v>3397</v>
      </c>
      <c r="AT710" t="s">
        <v>3358</v>
      </c>
      <c r="AU710" s="642">
        <v>14530071</v>
      </c>
    </row>
    <row r="711" spans="43:47" ht="12.9" x14ac:dyDescent="0.35">
      <c r="AQ711" s="641">
        <v>5601</v>
      </c>
      <c r="AR711" t="s">
        <v>3398</v>
      </c>
      <c r="AS711" t="s">
        <v>3399</v>
      </c>
      <c r="AT711" t="s">
        <v>3358</v>
      </c>
      <c r="AU711" s="642">
        <v>2569867</v>
      </c>
    </row>
    <row r="712" spans="43:47" ht="12.9" x14ac:dyDescent="0.35">
      <c r="AQ712" s="641">
        <v>5605</v>
      </c>
      <c r="AR712" t="s">
        <v>3400</v>
      </c>
      <c r="AS712" t="s">
        <v>3401</v>
      </c>
      <c r="AT712" t="s">
        <v>3358</v>
      </c>
      <c r="AU712" s="642">
        <v>129225</v>
      </c>
    </row>
    <row r="713" spans="43:47" ht="12.9" x14ac:dyDescent="0.35">
      <c r="AQ713" s="641">
        <v>5609</v>
      </c>
      <c r="AR713" t="s">
        <v>3402</v>
      </c>
      <c r="AS713" t="s">
        <v>3403</v>
      </c>
      <c r="AT713" t="s">
        <v>3358</v>
      </c>
      <c r="AU713" s="642">
        <v>1437693</v>
      </c>
    </row>
    <row r="714" spans="43:47" ht="12.9" x14ac:dyDescent="0.35">
      <c r="AQ714" s="641">
        <v>5617</v>
      </c>
      <c r="AR714" t="s">
        <v>3404</v>
      </c>
      <c r="AS714" t="s">
        <v>2455</v>
      </c>
      <c r="AT714" t="s">
        <v>3358</v>
      </c>
      <c r="AU714" s="642">
        <v>2400657</v>
      </c>
    </row>
    <row r="715" spans="43:47" ht="12.9" x14ac:dyDescent="0.35">
      <c r="AQ715" s="641">
        <v>5621</v>
      </c>
      <c r="AR715" t="s">
        <v>3405</v>
      </c>
      <c r="AS715" t="s">
        <v>3406</v>
      </c>
      <c r="AT715" t="s">
        <v>3358</v>
      </c>
      <c r="AU715" s="642">
        <v>11149833</v>
      </c>
    </row>
    <row r="716" spans="43:47" ht="12.9" x14ac:dyDescent="0.35">
      <c r="AQ716" s="641">
        <v>5641</v>
      </c>
      <c r="AR716" t="s">
        <v>3407</v>
      </c>
      <c r="AS716" t="s">
        <v>3408</v>
      </c>
      <c r="AT716" t="s">
        <v>3358</v>
      </c>
      <c r="AU716" s="642">
        <v>760919</v>
      </c>
    </row>
    <row r="717" spans="43:47" ht="12.9" x14ac:dyDescent="0.35">
      <c r="AQ717" s="641">
        <v>5643</v>
      </c>
      <c r="AR717" t="s">
        <v>3409</v>
      </c>
      <c r="AS717" t="s">
        <v>3410</v>
      </c>
      <c r="AT717" t="s">
        <v>3358</v>
      </c>
      <c r="AU717" s="642">
        <v>593583</v>
      </c>
    </row>
    <row r="718" spans="43:47" ht="12.9" x14ac:dyDescent="0.35">
      <c r="AQ718" s="641">
        <v>5645</v>
      </c>
      <c r="AR718" t="s">
        <v>3411</v>
      </c>
      <c r="AS718" t="s">
        <v>3412</v>
      </c>
      <c r="AT718" t="s">
        <v>3358</v>
      </c>
      <c r="AU718" s="642">
        <v>2023434</v>
      </c>
    </row>
    <row r="719" spans="43:47" ht="12.9" x14ac:dyDescent="0.35">
      <c r="AQ719" s="641">
        <v>5647</v>
      </c>
      <c r="AR719" t="s">
        <v>3413</v>
      </c>
      <c r="AS719" t="s">
        <v>3414</v>
      </c>
      <c r="AT719" t="s">
        <v>3358</v>
      </c>
      <c r="AU719" s="642">
        <v>1155778</v>
      </c>
    </row>
    <row r="720" spans="43:47" ht="12.9" x14ac:dyDescent="0.35">
      <c r="AQ720" s="641">
        <v>5657</v>
      </c>
      <c r="AR720" t="s">
        <v>3415</v>
      </c>
      <c r="AS720" t="s">
        <v>3416</v>
      </c>
      <c r="AT720" t="s">
        <v>3358</v>
      </c>
      <c r="AU720" s="642">
        <v>1107067</v>
      </c>
    </row>
    <row r="721" spans="43:47" ht="12.9" x14ac:dyDescent="0.35">
      <c r="AQ721" s="641">
        <v>5669</v>
      </c>
      <c r="AR721" t="s">
        <v>3417</v>
      </c>
      <c r="AS721" t="s">
        <v>3254</v>
      </c>
      <c r="AT721" t="s">
        <v>3358</v>
      </c>
      <c r="AU721" s="642">
        <v>1830658</v>
      </c>
    </row>
    <row r="722" spans="43:47" ht="12.9" x14ac:dyDescent="0.35">
      <c r="AQ722" s="641">
        <v>5673</v>
      </c>
      <c r="AR722" t="s">
        <v>3418</v>
      </c>
      <c r="AS722" t="s">
        <v>2483</v>
      </c>
      <c r="AT722" t="s">
        <v>3358</v>
      </c>
      <c r="AU722" s="642">
        <v>3456096</v>
      </c>
    </row>
    <row r="723" spans="43:47" ht="12.9" x14ac:dyDescent="0.35">
      <c r="AQ723" s="641">
        <v>5685</v>
      </c>
      <c r="AR723" t="s">
        <v>3419</v>
      </c>
      <c r="AS723" t="s">
        <v>3420</v>
      </c>
      <c r="AT723" t="s">
        <v>3358</v>
      </c>
      <c r="AU723" s="642" t="s">
        <v>2059</v>
      </c>
    </row>
    <row r="724" spans="43:47" ht="12.9" x14ac:dyDescent="0.35">
      <c r="AQ724" s="641">
        <v>5686</v>
      </c>
      <c r="AR724" t="s">
        <v>3421</v>
      </c>
      <c r="AS724" t="s">
        <v>3422</v>
      </c>
      <c r="AT724" t="s">
        <v>3358</v>
      </c>
      <c r="AU724" s="642">
        <v>1698760</v>
      </c>
    </row>
    <row r="725" spans="43:47" ht="12.9" x14ac:dyDescent="0.35">
      <c r="AQ725" s="641">
        <v>5693</v>
      </c>
      <c r="AR725" t="s">
        <v>3423</v>
      </c>
      <c r="AS725" t="s">
        <v>3424</v>
      </c>
      <c r="AT725" t="s">
        <v>3358</v>
      </c>
      <c r="AU725" s="642">
        <v>5164018</v>
      </c>
    </row>
    <row r="726" spans="43:47" ht="12.9" x14ac:dyDescent="0.35">
      <c r="AQ726" s="641">
        <v>5697</v>
      </c>
      <c r="AR726" t="s">
        <v>3425</v>
      </c>
      <c r="AS726" t="s">
        <v>3426</v>
      </c>
      <c r="AT726" t="s">
        <v>3358</v>
      </c>
      <c r="AU726" s="642">
        <v>1528506</v>
      </c>
    </row>
    <row r="727" spans="43:47" ht="12.9" x14ac:dyDescent="0.35">
      <c r="AQ727" s="641">
        <v>5701</v>
      </c>
      <c r="AR727" t="s">
        <v>3427</v>
      </c>
      <c r="AS727" t="s">
        <v>3428</v>
      </c>
      <c r="AT727" t="s">
        <v>3358</v>
      </c>
      <c r="AU727" s="642">
        <v>1337768</v>
      </c>
    </row>
    <row r="728" spans="43:47" ht="12.9" x14ac:dyDescent="0.35">
      <c r="AQ728" s="641">
        <v>5711</v>
      </c>
      <c r="AR728" t="s">
        <v>3429</v>
      </c>
      <c r="AS728" t="s">
        <v>3430</v>
      </c>
      <c r="AT728" t="s">
        <v>3358</v>
      </c>
      <c r="AU728" s="642">
        <v>1739312</v>
      </c>
    </row>
    <row r="729" spans="43:47" ht="12.9" x14ac:dyDescent="0.35">
      <c r="AQ729" s="641">
        <v>5715</v>
      </c>
      <c r="AR729" t="s">
        <v>3431</v>
      </c>
      <c r="AS729" t="s">
        <v>3432</v>
      </c>
      <c r="AT729" t="s">
        <v>3358</v>
      </c>
      <c r="AU729" s="642">
        <v>1399412</v>
      </c>
    </row>
    <row r="730" spans="43:47" ht="12.9" x14ac:dyDescent="0.35">
      <c r="AQ730" s="641">
        <v>5719</v>
      </c>
      <c r="AR730" t="s">
        <v>3433</v>
      </c>
      <c r="AS730" t="s">
        <v>3434</v>
      </c>
      <c r="AT730" t="s">
        <v>3358</v>
      </c>
      <c r="AU730" s="642">
        <v>3145636</v>
      </c>
    </row>
    <row r="731" spans="43:47" ht="12.9" x14ac:dyDescent="0.35">
      <c r="AQ731" s="641">
        <v>5723</v>
      </c>
      <c r="AR731" t="s">
        <v>3435</v>
      </c>
      <c r="AS731" t="s">
        <v>2515</v>
      </c>
      <c r="AT731" t="s">
        <v>3358</v>
      </c>
      <c r="AU731" s="642">
        <v>1959971</v>
      </c>
    </row>
    <row r="732" spans="43:47" ht="12.9" x14ac:dyDescent="0.35">
      <c r="AQ732" s="641">
        <v>5735</v>
      </c>
      <c r="AR732" t="s">
        <v>3436</v>
      </c>
      <c r="AS732" t="s">
        <v>3437</v>
      </c>
      <c r="AT732" t="s">
        <v>3358</v>
      </c>
      <c r="AU732" s="642">
        <v>8296687</v>
      </c>
    </row>
    <row r="733" spans="43:47" ht="12.9" x14ac:dyDescent="0.35">
      <c r="AQ733" s="641">
        <v>5739</v>
      </c>
      <c r="AR733" t="s">
        <v>3438</v>
      </c>
      <c r="AS733" t="s">
        <v>3439</v>
      </c>
      <c r="AT733" t="s">
        <v>3358</v>
      </c>
      <c r="AU733" s="642">
        <v>1464533</v>
      </c>
    </row>
    <row r="734" spans="43:47" ht="12.9" x14ac:dyDescent="0.35">
      <c r="AQ734" s="641">
        <v>5743</v>
      </c>
      <c r="AR734" t="s">
        <v>3440</v>
      </c>
      <c r="AS734" t="s">
        <v>3403</v>
      </c>
      <c r="AT734" t="s">
        <v>3358</v>
      </c>
      <c r="AU734" s="642">
        <v>31707559</v>
      </c>
    </row>
    <row r="735" spans="43:47" ht="12.9" x14ac:dyDescent="0.35">
      <c r="AQ735" s="641">
        <v>5775</v>
      </c>
      <c r="AR735" t="s">
        <v>3441</v>
      </c>
      <c r="AS735" t="s">
        <v>3442</v>
      </c>
      <c r="AT735" t="s">
        <v>3358</v>
      </c>
      <c r="AU735" s="642">
        <v>7710484</v>
      </c>
    </row>
    <row r="736" spans="43:47" ht="12.9" x14ac:dyDescent="0.35">
      <c r="AQ736" s="641">
        <v>5811</v>
      </c>
      <c r="AR736" t="s">
        <v>3443</v>
      </c>
      <c r="AS736" t="s">
        <v>3444</v>
      </c>
      <c r="AT736" t="s">
        <v>3358</v>
      </c>
      <c r="AU736" s="642">
        <v>23817864</v>
      </c>
    </row>
    <row r="737" spans="43:47" ht="12.9" x14ac:dyDescent="0.35">
      <c r="AQ737" s="641">
        <v>5815</v>
      </c>
      <c r="AR737" t="s">
        <v>3445</v>
      </c>
      <c r="AS737" t="s">
        <v>3446</v>
      </c>
      <c r="AT737" t="s">
        <v>3358</v>
      </c>
      <c r="AU737" s="642">
        <v>29343884</v>
      </c>
    </row>
    <row r="738" spans="43:47" ht="12.9" x14ac:dyDescent="0.35">
      <c r="AQ738" s="641">
        <v>5891</v>
      </c>
      <c r="AR738" t="s">
        <v>3447</v>
      </c>
      <c r="AS738" t="s">
        <v>3448</v>
      </c>
      <c r="AT738" t="s">
        <v>3358</v>
      </c>
      <c r="AU738" s="642">
        <v>1116622</v>
      </c>
    </row>
    <row r="739" spans="43:47" ht="12.9" x14ac:dyDescent="0.35">
      <c r="AQ739" s="641">
        <v>5906</v>
      </c>
      <c r="AR739" t="s">
        <v>3449</v>
      </c>
      <c r="AS739" t="s">
        <v>3450</v>
      </c>
      <c r="AT739" t="s">
        <v>3358</v>
      </c>
      <c r="AU739" s="642">
        <v>2170482</v>
      </c>
    </row>
    <row r="740" spans="43:47" ht="12.9" x14ac:dyDescent="0.35">
      <c r="AQ740" s="641">
        <v>5907</v>
      </c>
      <c r="AR740" t="s">
        <v>3451</v>
      </c>
      <c r="AS740" t="s">
        <v>2792</v>
      </c>
      <c r="AT740" t="s">
        <v>3358</v>
      </c>
      <c r="AU740" s="642">
        <v>5034426</v>
      </c>
    </row>
    <row r="741" spans="43:47" ht="12.9" x14ac:dyDescent="0.35">
      <c r="AQ741" s="641">
        <v>5908</v>
      </c>
      <c r="AR741" t="s">
        <v>3452</v>
      </c>
      <c r="AS741" t="s">
        <v>3453</v>
      </c>
      <c r="AT741" t="s">
        <v>3358</v>
      </c>
      <c r="AU741" s="642">
        <v>4762589</v>
      </c>
    </row>
    <row r="742" spans="43:47" ht="12.9" x14ac:dyDescent="0.35">
      <c r="AQ742" s="641">
        <v>5919</v>
      </c>
      <c r="AR742" t="s">
        <v>3454</v>
      </c>
      <c r="AS742" t="s">
        <v>3455</v>
      </c>
      <c r="AT742" t="s">
        <v>3358</v>
      </c>
      <c r="AU742" s="642">
        <v>474066</v>
      </c>
    </row>
    <row r="743" spans="43:47" ht="12.9" x14ac:dyDescent="0.35">
      <c r="AQ743" s="641">
        <v>5923</v>
      </c>
      <c r="AR743" t="s">
        <v>3456</v>
      </c>
      <c r="AS743" t="s">
        <v>3457</v>
      </c>
      <c r="AT743" t="s">
        <v>3358</v>
      </c>
      <c r="AU743" s="642">
        <v>1307595</v>
      </c>
    </row>
    <row r="744" spans="43:47" ht="12.9" x14ac:dyDescent="0.35">
      <c r="AQ744" s="641">
        <v>5927</v>
      </c>
      <c r="AR744" t="s">
        <v>3458</v>
      </c>
      <c r="AS744" t="s">
        <v>3459</v>
      </c>
      <c r="AT744" t="s">
        <v>3358</v>
      </c>
      <c r="AU744" s="642">
        <v>2597806</v>
      </c>
    </row>
    <row r="745" spans="43:47" ht="12.9" x14ac:dyDescent="0.35">
      <c r="AQ745" s="641">
        <v>5928</v>
      </c>
      <c r="AR745" t="s">
        <v>3460</v>
      </c>
      <c r="AS745" t="s">
        <v>3461</v>
      </c>
      <c r="AT745" t="s">
        <v>3358</v>
      </c>
      <c r="AU745" s="642">
        <v>415998</v>
      </c>
    </row>
    <row r="746" spans="43:47" ht="12.9" x14ac:dyDescent="0.35">
      <c r="AQ746" s="641">
        <v>5931</v>
      </c>
      <c r="AR746" t="s">
        <v>3462</v>
      </c>
      <c r="AS746" t="s">
        <v>3463</v>
      </c>
      <c r="AT746" t="s">
        <v>3358</v>
      </c>
      <c r="AU746" s="642">
        <v>4189007</v>
      </c>
    </row>
    <row r="747" spans="43:47" ht="12.9" x14ac:dyDescent="0.35">
      <c r="AQ747" s="641">
        <v>5935</v>
      </c>
      <c r="AR747" t="s">
        <v>3464</v>
      </c>
      <c r="AS747" t="s">
        <v>3465</v>
      </c>
      <c r="AT747" t="s">
        <v>3358</v>
      </c>
      <c r="AU747" s="642">
        <v>435396</v>
      </c>
    </row>
    <row r="748" spans="43:47" ht="12.9" x14ac:dyDescent="0.35">
      <c r="AQ748" s="641">
        <v>5938</v>
      </c>
      <c r="AR748" t="s">
        <v>3466</v>
      </c>
      <c r="AS748" t="s">
        <v>3467</v>
      </c>
      <c r="AT748" t="s">
        <v>3358</v>
      </c>
      <c r="AU748" s="642" t="s">
        <v>2059</v>
      </c>
    </row>
    <row r="749" spans="43:47" ht="12.9" x14ac:dyDescent="0.35">
      <c r="AQ749" s="641">
        <v>5939</v>
      </c>
      <c r="AR749" t="s">
        <v>3468</v>
      </c>
      <c r="AS749" t="s">
        <v>3469</v>
      </c>
      <c r="AT749" t="s">
        <v>3358</v>
      </c>
      <c r="AU749" s="642">
        <v>2431334</v>
      </c>
    </row>
    <row r="750" spans="43:47" ht="12.9" x14ac:dyDescent="0.35">
      <c r="AQ750" s="641">
        <v>5945</v>
      </c>
      <c r="AR750" t="s">
        <v>3470</v>
      </c>
      <c r="AS750" t="s">
        <v>3471</v>
      </c>
      <c r="AT750" t="s">
        <v>3358</v>
      </c>
      <c r="AU750" s="642">
        <v>2421522</v>
      </c>
    </row>
    <row r="751" spans="43:47" ht="12.9" x14ac:dyDescent="0.35">
      <c r="AQ751" s="641">
        <v>5949</v>
      </c>
      <c r="AR751" t="s">
        <v>3472</v>
      </c>
      <c r="AS751" t="s">
        <v>3473</v>
      </c>
      <c r="AT751" t="s">
        <v>3358</v>
      </c>
      <c r="AU751" s="642">
        <v>1207931</v>
      </c>
    </row>
    <row r="752" spans="43:47" ht="12.9" x14ac:dyDescent="0.35">
      <c r="AQ752" s="641">
        <v>5950</v>
      </c>
      <c r="AR752" t="s">
        <v>3474</v>
      </c>
      <c r="AS752" t="s">
        <v>3406</v>
      </c>
      <c r="AT752" t="s">
        <v>3358</v>
      </c>
      <c r="AU752" s="642">
        <v>182222</v>
      </c>
    </row>
    <row r="753" spans="43:47" ht="12.9" x14ac:dyDescent="0.35">
      <c r="AQ753" s="641">
        <v>5953</v>
      </c>
      <c r="AR753" t="s">
        <v>3475</v>
      </c>
      <c r="AS753" t="s">
        <v>3476</v>
      </c>
      <c r="AT753" t="s">
        <v>3358</v>
      </c>
      <c r="AU753" s="642" t="s">
        <v>2059</v>
      </c>
    </row>
    <row r="754" spans="43:47" ht="12.9" x14ac:dyDescent="0.35">
      <c r="AQ754" s="641">
        <v>5961</v>
      </c>
      <c r="AR754" t="s">
        <v>3477</v>
      </c>
      <c r="AS754" t="s">
        <v>3478</v>
      </c>
      <c r="AT754" t="s">
        <v>3358</v>
      </c>
      <c r="AU754" s="642">
        <v>1293183</v>
      </c>
    </row>
    <row r="755" spans="43:47" ht="12.9" x14ac:dyDescent="0.35">
      <c r="AQ755" s="641">
        <v>5965</v>
      </c>
      <c r="AR755" t="s">
        <v>3479</v>
      </c>
      <c r="AS755" t="s">
        <v>2338</v>
      </c>
      <c r="AT755" t="s">
        <v>3358</v>
      </c>
      <c r="AU755" s="642">
        <v>13930977</v>
      </c>
    </row>
    <row r="756" spans="43:47" ht="12.9" x14ac:dyDescent="0.35">
      <c r="AQ756" s="641">
        <v>5969</v>
      </c>
      <c r="AR756" t="s">
        <v>2431</v>
      </c>
      <c r="AS756" t="s">
        <v>2082</v>
      </c>
      <c r="AT756" t="s">
        <v>3358</v>
      </c>
      <c r="AU756" s="642">
        <v>1558839</v>
      </c>
    </row>
    <row r="757" spans="43:47" ht="12.9" x14ac:dyDescent="0.35">
      <c r="AQ757" s="641">
        <v>5977</v>
      </c>
      <c r="AR757" t="s">
        <v>3480</v>
      </c>
      <c r="AS757" t="s">
        <v>3481</v>
      </c>
      <c r="AT757" t="s">
        <v>3358</v>
      </c>
      <c r="AU757" s="642">
        <v>1325409</v>
      </c>
    </row>
    <row r="758" spans="43:47" ht="12.9" x14ac:dyDescent="0.35">
      <c r="AQ758" s="641">
        <v>5979</v>
      </c>
      <c r="AR758" t="s">
        <v>3482</v>
      </c>
      <c r="AS758" t="s">
        <v>3483</v>
      </c>
      <c r="AT758" t="s">
        <v>3358</v>
      </c>
      <c r="AU758" s="642">
        <v>1720453</v>
      </c>
    </row>
    <row r="759" spans="43:47" ht="12.9" x14ac:dyDescent="0.35">
      <c r="AQ759" s="641">
        <v>5987</v>
      </c>
      <c r="AR759" t="s">
        <v>3484</v>
      </c>
      <c r="AS759" t="s">
        <v>3485</v>
      </c>
      <c r="AT759" t="s">
        <v>3358</v>
      </c>
      <c r="AU759" s="642">
        <v>2538378</v>
      </c>
    </row>
    <row r="760" spans="43:47" ht="12.9" x14ac:dyDescent="0.35">
      <c r="AQ760" s="641">
        <v>5991</v>
      </c>
      <c r="AR760" t="s">
        <v>3486</v>
      </c>
      <c r="AS760" t="s">
        <v>3487</v>
      </c>
      <c r="AT760" t="s">
        <v>3358</v>
      </c>
      <c r="AU760" s="642">
        <v>5739997</v>
      </c>
    </row>
    <row r="761" spans="43:47" ht="12.9" x14ac:dyDescent="0.35">
      <c r="AQ761" s="641">
        <v>5995</v>
      </c>
      <c r="AR761" t="s">
        <v>3488</v>
      </c>
      <c r="AS761" t="s">
        <v>3489</v>
      </c>
      <c r="AT761" t="s">
        <v>3358</v>
      </c>
      <c r="AU761" s="642">
        <v>5947706</v>
      </c>
    </row>
    <row r="762" spans="43:47" ht="12.9" x14ac:dyDescent="0.35">
      <c r="AQ762" s="641">
        <v>5997</v>
      </c>
      <c r="AR762" t="s">
        <v>3490</v>
      </c>
      <c r="AS762" t="s">
        <v>3491</v>
      </c>
      <c r="AT762" t="s">
        <v>3358</v>
      </c>
      <c r="AU762" s="642">
        <v>5508973</v>
      </c>
    </row>
    <row r="763" spans="43:47" ht="12.9" x14ac:dyDescent="0.35">
      <c r="AQ763" s="641">
        <v>6003</v>
      </c>
      <c r="AR763" t="s">
        <v>3492</v>
      </c>
      <c r="AS763" t="s">
        <v>3493</v>
      </c>
      <c r="AT763" t="s">
        <v>3358</v>
      </c>
      <c r="AU763" s="642">
        <v>2381435</v>
      </c>
    </row>
    <row r="764" spans="43:47" ht="12.9" x14ac:dyDescent="0.35">
      <c r="AQ764" s="641">
        <v>6011</v>
      </c>
      <c r="AR764" t="s">
        <v>3494</v>
      </c>
      <c r="AS764" t="s">
        <v>3495</v>
      </c>
      <c r="AT764" t="s">
        <v>3496</v>
      </c>
      <c r="AU764" s="642">
        <v>664023</v>
      </c>
    </row>
    <row r="765" spans="43:47" ht="12.9" x14ac:dyDescent="0.35">
      <c r="AQ765" s="641">
        <v>6016</v>
      </c>
      <c r="AR765" t="s">
        <v>3497</v>
      </c>
      <c r="AS765" t="s">
        <v>3498</v>
      </c>
      <c r="AT765" t="s">
        <v>3496</v>
      </c>
      <c r="AU765" s="642">
        <v>2614482</v>
      </c>
    </row>
    <row r="766" spans="43:47" ht="12.9" x14ac:dyDescent="0.35">
      <c r="AQ766" s="641">
        <v>6022</v>
      </c>
      <c r="AR766" t="s">
        <v>3499</v>
      </c>
      <c r="AS766" t="s">
        <v>3500</v>
      </c>
      <c r="AT766" t="s">
        <v>2440</v>
      </c>
      <c r="AU766" s="642">
        <v>5264006</v>
      </c>
    </row>
    <row r="767" spans="43:47" ht="12.9" x14ac:dyDescent="0.35">
      <c r="AQ767" s="641">
        <v>6030</v>
      </c>
      <c r="AR767" t="s">
        <v>3501</v>
      </c>
      <c r="AS767" t="s">
        <v>2198</v>
      </c>
      <c r="AT767" t="s">
        <v>3502</v>
      </c>
      <c r="AU767" s="642">
        <v>3201432</v>
      </c>
    </row>
    <row r="768" spans="43:47" ht="12.9" x14ac:dyDescent="0.35">
      <c r="AQ768" s="641">
        <v>6038</v>
      </c>
      <c r="AR768" t="s">
        <v>3503</v>
      </c>
      <c r="AS768" t="s">
        <v>3504</v>
      </c>
      <c r="AT768" t="s">
        <v>3502</v>
      </c>
      <c r="AU768" s="642">
        <v>8282125</v>
      </c>
    </row>
    <row r="769" spans="43:47" ht="12.9" x14ac:dyDescent="0.35">
      <c r="AQ769" s="641">
        <v>6042</v>
      </c>
      <c r="AR769" t="s">
        <v>3505</v>
      </c>
      <c r="AS769" t="s">
        <v>3506</v>
      </c>
      <c r="AT769" t="s">
        <v>3502</v>
      </c>
      <c r="AU769" s="642">
        <v>23992551</v>
      </c>
    </row>
    <row r="770" spans="43:47" ht="12.9" x14ac:dyDescent="0.35">
      <c r="AQ770" s="641">
        <v>6073</v>
      </c>
      <c r="AR770" t="s">
        <v>3507</v>
      </c>
      <c r="AS770" t="s">
        <v>2858</v>
      </c>
      <c r="AT770" t="s">
        <v>3502</v>
      </c>
      <c r="AU770" s="642">
        <v>946432</v>
      </c>
    </row>
    <row r="771" spans="43:47" ht="12.9" x14ac:dyDescent="0.35">
      <c r="AQ771" s="641">
        <v>6074</v>
      </c>
      <c r="AR771" t="s">
        <v>3508</v>
      </c>
      <c r="AS771" t="s">
        <v>3509</v>
      </c>
      <c r="AT771" t="s">
        <v>3502</v>
      </c>
      <c r="AU771" s="642">
        <v>5265532</v>
      </c>
    </row>
    <row r="772" spans="43:47" ht="12.9" x14ac:dyDescent="0.35">
      <c r="AQ772" s="641">
        <v>6078</v>
      </c>
      <c r="AR772" t="s">
        <v>3510</v>
      </c>
      <c r="AS772" t="s">
        <v>3511</v>
      </c>
      <c r="AT772" t="s">
        <v>3502</v>
      </c>
      <c r="AU772" s="642">
        <v>983960</v>
      </c>
    </row>
    <row r="773" spans="43:47" ht="12.9" x14ac:dyDescent="0.35">
      <c r="AQ773" s="641">
        <v>6082</v>
      </c>
      <c r="AR773" t="s">
        <v>3512</v>
      </c>
      <c r="AS773" t="s">
        <v>2509</v>
      </c>
      <c r="AT773" t="s">
        <v>3513</v>
      </c>
      <c r="AU773" s="642">
        <v>4109951</v>
      </c>
    </row>
    <row r="774" spans="43:47" ht="12.9" x14ac:dyDescent="0.35">
      <c r="AQ774" s="641">
        <v>6083</v>
      </c>
      <c r="AR774" t="s">
        <v>3514</v>
      </c>
      <c r="AS774" t="s">
        <v>3515</v>
      </c>
      <c r="AT774" t="s">
        <v>3513</v>
      </c>
      <c r="AU774" s="642">
        <v>1594771</v>
      </c>
    </row>
    <row r="775" spans="43:47" ht="12.9" x14ac:dyDescent="0.35">
      <c r="AQ775" s="641">
        <v>6088</v>
      </c>
      <c r="AR775" t="s">
        <v>3516</v>
      </c>
      <c r="AS775" t="s">
        <v>3517</v>
      </c>
      <c r="AT775" t="s">
        <v>3513</v>
      </c>
      <c r="AU775" s="642">
        <v>372921</v>
      </c>
    </row>
    <row r="776" spans="43:47" ht="12.9" x14ac:dyDescent="0.35">
      <c r="AQ776" s="641">
        <v>6089</v>
      </c>
      <c r="AR776" t="s">
        <v>3518</v>
      </c>
      <c r="AS776" t="s">
        <v>3519</v>
      </c>
      <c r="AT776" t="s">
        <v>3513</v>
      </c>
      <c r="AU776" s="642">
        <v>1577588</v>
      </c>
    </row>
    <row r="777" spans="43:47" ht="12.9" x14ac:dyDescent="0.35">
      <c r="AQ777" s="641">
        <v>6094</v>
      </c>
      <c r="AR777" t="s">
        <v>3520</v>
      </c>
      <c r="AS777" t="s">
        <v>3521</v>
      </c>
      <c r="AT777" t="s">
        <v>3513</v>
      </c>
      <c r="AU777" s="642">
        <v>435483</v>
      </c>
    </row>
    <row r="778" spans="43:47" ht="12.9" x14ac:dyDescent="0.35">
      <c r="AQ778" s="641">
        <v>6097</v>
      </c>
      <c r="AR778" t="s">
        <v>3522</v>
      </c>
      <c r="AS778" t="s">
        <v>3523</v>
      </c>
      <c r="AT778" t="s">
        <v>3513</v>
      </c>
      <c r="AU778" s="642" t="s">
        <v>2059</v>
      </c>
    </row>
    <row r="779" spans="43:47" ht="12.9" x14ac:dyDescent="0.35">
      <c r="AQ779" s="641">
        <v>6099</v>
      </c>
      <c r="AR779" t="s">
        <v>3524</v>
      </c>
      <c r="AS779" t="s">
        <v>3525</v>
      </c>
      <c r="AT779" t="s">
        <v>3513</v>
      </c>
      <c r="AU779" s="642">
        <v>2995738</v>
      </c>
    </row>
    <row r="780" spans="43:47" ht="12.9" x14ac:dyDescent="0.35">
      <c r="AQ780" s="641">
        <v>6102</v>
      </c>
      <c r="AR780" t="s">
        <v>3526</v>
      </c>
      <c r="AS780" t="s">
        <v>3527</v>
      </c>
      <c r="AT780" t="s">
        <v>3513</v>
      </c>
      <c r="AU780" s="642">
        <v>195945</v>
      </c>
    </row>
    <row r="781" spans="43:47" ht="12.9" x14ac:dyDescent="0.35">
      <c r="AQ781" s="641">
        <v>6106</v>
      </c>
      <c r="AR781" t="s">
        <v>3528</v>
      </c>
      <c r="AS781" t="s">
        <v>2353</v>
      </c>
      <c r="AT781" t="s">
        <v>3513</v>
      </c>
      <c r="AU781" s="642">
        <v>867145</v>
      </c>
    </row>
    <row r="782" spans="43:47" ht="12.9" x14ac:dyDescent="0.35">
      <c r="AQ782" s="641">
        <v>6112</v>
      </c>
      <c r="AR782" t="s">
        <v>3529</v>
      </c>
      <c r="AS782" t="s">
        <v>2867</v>
      </c>
      <c r="AT782" t="s">
        <v>3513</v>
      </c>
      <c r="AU782" s="642">
        <v>6142483</v>
      </c>
    </row>
    <row r="783" spans="43:47" ht="12.9" x14ac:dyDescent="0.35">
      <c r="AQ783" s="641">
        <v>6113</v>
      </c>
      <c r="AR783" t="s">
        <v>3530</v>
      </c>
      <c r="AS783" t="s">
        <v>3531</v>
      </c>
      <c r="AT783" t="s">
        <v>3513</v>
      </c>
      <c r="AU783" s="642">
        <v>2447777</v>
      </c>
    </row>
    <row r="784" spans="43:47" ht="12.9" x14ac:dyDescent="0.35">
      <c r="AQ784" s="641">
        <v>6120</v>
      </c>
      <c r="AR784" t="s">
        <v>3532</v>
      </c>
      <c r="AS784" t="s">
        <v>3533</v>
      </c>
      <c r="AT784" t="s">
        <v>3513</v>
      </c>
      <c r="AU784" s="642">
        <v>2667563</v>
      </c>
    </row>
    <row r="785" spans="43:47" ht="12.9" x14ac:dyDescent="0.35">
      <c r="AQ785" s="641">
        <v>6121</v>
      </c>
      <c r="AR785" t="s">
        <v>3534</v>
      </c>
      <c r="AS785" t="s">
        <v>3535</v>
      </c>
      <c r="AT785" t="s">
        <v>3513</v>
      </c>
      <c r="AU785" s="642">
        <v>1561307</v>
      </c>
    </row>
    <row r="786" spans="43:47" ht="12.9" x14ac:dyDescent="0.35">
      <c r="AQ786" s="641">
        <v>6122</v>
      </c>
      <c r="AR786" t="s">
        <v>3536</v>
      </c>
      <c r="AS786" t="s">
        <v>2037</v>
      </c>
      <c r="AT786" t="s">
        <v>3513</v>
      </c>
      <c r="AU786" s="642">
        <v>2250031</v>
      </c>
    </row>
    <row r="787" spans="43:47" ht="12.9" x14ac:dyDescent="0.35">
      <c r="AQ787" s="641">
        <v>6124</v>
      </c>
      <c r="AR787" t="s">
        <v>3537</v>
      </c>
      <c r="AS787" t="s">
        <v>2858</v>
      </c>
      <c r="AT787" t="s">
        <v>3513</v>
      </c>
      <c r="AU787" s="642">
        <v>11577677</v>
      </c>
    </row>
    <row r="788" spans="43:47" ht="12.9" x14ac:dyDescent="0.35">
      <c r="AQ788" s="641">
        <v>6125</v>
      </c>
      <c r="AR788" t="s">
        <v>3538</v>
      </c>
      <c r="AS788" t="s">
        <v>3539</v>
      </c>
      <c r="AT788" t="s">
        <v>3513</v>
      </c>
      <c r="AU788" s="642">
        <v>2592065</v>
      </c>
    </row>
    <row r="789" spans="43:47" ht="12.9" x14ac:dyDescent="0.35">
      <c r="AQ789" s="641">
        <v>6128</v>
      </c>
      <c r="AR789" t="s">
        <v>3540</v>
      </c>
      <c r="AS789" t="s">
        <v>3541</v>
      </c>
      <c r="AT789" t="s">
        <v>3513</v>
      </c>
      <c r="AU789" s="642">
        <v>9941442</v>
      </c>
    </row>
    <row r="790" spans="43:47" ht="12.9" x14ac:dyDescent="0.35">
      <c r="AQ790" s="641">
        <v>6130</v>
      </c>
      <c r="AR790" t="s">
        <v>3542</v>
      </c>
      <c r="AS790" t="s">
        <v>3543</v>
      </c>
      <c r="AT790" t="s">
        <v>3513</v>
      </c>
      <c r="AU790" s="642">
        <v>1057485</v>
      </c>
    </row>
    <row r="791" spans="43:47" ht="12.9" x14ac:dyDescent="0.35">
      <c r="AQ791" s="641">
        <v>6132</v>
      </c>
      <c r="AR791" t="s">
        <v>3544</v>
      </c>
      <c r="AS791" t="s">
        <v>3545</v>
      </c>
      <c r="AT791" t="s">
        <v>3513</v>
      </c>
      <c r="AU791" s="642">
        <v>3756983</v>
      </c>
    </row>
    <row r="792" spans="43:47" ht="12.9" x14ac:dyDescent="0.35">
      <c r="AQ792" s="641">
        <v>6138</v>
      </c>
      <c r="AR792" t="s">
        <v>3546</v>
      </c>
      <c r="AS792" t="s">
        <v>3547</v>
      </c>
      <c r="AT792" t="s">
        <v>3513</v>
      </c>
      <c r="AU792" s="642">
        <v>2073299</v>
      </c>
    </row>
    <row r="793" spans="43:47" ht="12.9" x14ac:dyDescent="0.35">
      <c r="AQ793" s="641">
        <v>6140</v>
      </c>
      <c r="AR793" t="s">
        <v>2626</v>
      </c>
      <c r="AS793" t="s">
        <v>3548</v>
      </c>
      <c r="AT793" t="s">
        <v>3513</v>
      </c>
      <c r="AU793" s="642">
        <v>545938</v>
      </c>
    </row>
    <row r="794" spans="43:47" ht="12.9" x14ac:dyDescent="0.35">
      <c r="AQ794" s="641">
        <v>6146</v>
      </c>
      <c r="AR794" t="s">
        <v>3549</v>
      </c>
      <c r="AS794" t="s">
        <v>3550</v>
      </c>
      <c r="AT794" t="s">
        <v>3551</v>
      </c>
      <c r="AU794" s="642">
        <v>2781370</v>
      </c>
    </row>
    <row r="795" spans="43:47" ht="12.9" x14ac:dyDescent="0.35">
      <c r="AQ795" s="641">
        <v>6154</v>
      </c>
      <c r="AR795" t="s">
        <v>3552</v>
      </c>
      <c r="AS795" t="s">
        <v>3553</v>
      </c>
      <c r="AT795" t="s">
        <v>3551</v>
      </c>
      <c r="AU795" s="642">
        <v>4937625</v>
      </c>
    </row>
    <row r="796" spans="43:47" ht="12.9" x14ac:dyDescent="0.35">
      <c r="AQ796" s="641">
        <v>6158</v>
      </c>
      <c r="AR796" t="s">
        <v>3554</v>
      </c>
      <c r="AS796" t="s">
        <v>3555</v>
      </c>
      <c r="AT796" t="s">
        <v>3551</v>
      </c>
      <c r="AU796" s="642">
        <v>3828538</v>
      </c>
    </row>
    <row r="797" spans="43:47" ht="12.9" x14ac:dyDescent="0.35">
      <c r="AQ797" s="641">
        <v>6159</v>
      </c>
      <c r="AR797" t="s">
        <v>3556</v>
      </c>
      <c r="AS797" t="s">
        <v>3557</v>
      </c>
      <c r="AT797" t="s">
        <v>3551</v>
      </c>
      <c r="AU797" s="642">
        <v>1068583</v>
      </c>
    </row>
    <row r="798" spans="43:47" ht="12.9" x14ac:dyDescent="0.35">
      <c r="AQ798" s="641">
        <v>6173</v>
      </c>
      <c r="AR798" t="s">
        <v>3558</v>
      </c>
      <c r="AS798" t="s">
        <v>2281</v>
      </c>
      <c r="AT798" t="s">
        <v>3559</v>
      </c>
      <c r="AU798" s="642">
        <v>877217</v>
      </c>
    </row>
    <row r="799" spans="43:47" ht="12.9" x14ac:dyDescent="0.35">
      <c r="AQ799" s="641">
        <v>6177</v>
      </c>
      <c r="AR799" t="s">
        <v>3560</v>
      </c>
      <c r="AS799" t="s">
        <v>3561</v>
      </c>
      <c r="AT799" t="s">
        <v>3559</v>
      </c>
      <c r="AU799" s="642">
        <v>1746469</v>
      </c>
    </row>
    <row r="800" spans="43:47" ht="12.9" x14ac:dyDescent="0.35">
      <c r="AQ800" s="641">
        <v>6181</v>
      </c>
      <c r="AR800" t="s">
        <v>3562</v>
      </c>
      <c r="AS800" t="s">
        <v>3563</v>
      </c>
      <c r="AT800" t="s">
        <v>3559</v>
      </c>
      <c r="AU800" s="642">
        <v>12719715</v>
      </c>
    </row>
    <row r="801" spans="43:47" ht="12.9" x14ac:dyDescent="0.35">
      <c r="AQ801" s="641">
        <v>6217</v>
      </c>
      <c r="AR801" t="s">
        <v>3564</v>
      </c>
      <c r="AS801" t="s">
        <v>3565</v>
      </c>
      <c r="AT801" t="s">
        <v>3559</v>
      </c>
      <c r="AU801" s="642">
        <v>458946</v>
      </c>
    </row>
    <row r="802" spans="43:47" ht="12.9" x14ac:dyDescent="0.35">
      <c r="AQ802" s="641">
        <v>6219</v>
      </c>
      <c r="AR802" t="s">
        <v>3566</v>
      </c>
      <c r="AS802" t="s">
        <v>3567</v>
      </c>
      <c r="AT802" t="s">
        <v>3559</v>
      </c>
      <c r="AU802" s="642">
        <v>1508573</v>
      </c>
    </row>
    <row r="803" spans="43:47" ht="12.9" x14ac:dyDescent="0.35">
      <c r="AQ803" s="641">
        <v>6220</v>
      </c>
      <c r="AR803" t="s">
        <v>3568</v>
      </c>
      <c r="AS803" t="s">
        <v>3569</v>
      </c>
      <c r="AT803" t="s">
        <v>3559</v>
      </c>
      <c r="AU803" s="642">
        <v>140541</v>
      </c>
    </row>
    <row r="804" spans="43:47" ht="12.9" x14ac:dyDescent="0.35">
      <c r="AQ804" s="641">
        <v>6221</v>
      </c>
      <c r="AR804" t="s">
        <v>3570</v>
      </c>
      <c r="AS804" t="s">
        <v>2796</v>
      </c>
      <c r="AT804" t="s">
        <v>3559</v>
      </c>
      <c r="AU804" s="642">
        <v>2035999</v>
      </c>
    </row>
    <row r="805" spans="43:47" ht="12.9" x14ac:dyDescent="0.35">
      <c r="AQ805" s="641">
        <v>6225</v>
      </c>
      <c r="AR805" t="s">
        <v>3571</v>
      </c>
      <c r="AS805" t="s">
        <v>3572</v>
      </c>
      <c r="AT805" t="s">
        <v>3559</v>
      </c>
      <c r="AU805" s="642">
        <v>6082371</v>
      </c>
    </row>
    <row r="806" spans="43:47" ht="12.9" x14ac:dyDescent="0.35">
      <c r="AQ806" s="641">
        <v>6230</v>
      </c>
      <c r="AR806" t="s">
        <v>3573</v>
      </c>
      <c r="AS806" t="s">
        <v>3574</v>
      </c>
      <c r="AT806" t="s">
        <v>3559</v>
      </c>
      <c r="AU806" s="642">
        <v>412949</v>
      </c>
    </row>
    <row r="807" spans="43:47" ht="12.9" x14ac:dyDescent="0.35">
      <c r="AQ807" s="641">
        <v>6243</v>
      </c>
      <c r="AR807" t="s">
        <v>3575</v>
      </c>
      <c r="AS807" t="s">
        <v>3576</v>
      </c>
      <c r="AT807" t="s">
        <v>3559</v>
      </c>
      <c r="AU807" s="642">
        <v>1980505</v>
      </c>
    </row>
    <row r="808" spans="43:47" ht="12.9" x14ac:dyDescent="0.35">
      <c r="AQ808" s="641">
        <v>6245</v>
      </c>
      <c r="AR808" t="s">
        <v>3577</v>
      </c>
      <c r="AS808" t="s">
        <v>3578</v>
      </c>
      <c r="AT808" t="s">
        <v>3559</v>
      </c>
      <c r="AU808" s="642">
        <v>16621881</v>
      </c>
    </row>
    <row r="809" spans="43:47" ht="12.9" x14ac:dyDescent="0.35">
      <c r="AQ809" s="641">
        <v>6259</v>
      </c>
      <c r="AR809" t="s">
        <v>3579</v>
      </c>
      <c r="AS809" t="s">
        <v>3580</v>
      </c>
      <c r="AT809" t="s">
        <v>3559</v>
      </c>
      <c r="AU809" s="642">
        <v>431729</v>
      </c>
    </row>
    <row r="810" spans="43:47" ht="12.9" x14ac:dyDescent="0.35">
      <c r="AQ810" s="641">
        <v>6273</v>
      </c>
      <c r="AR810" t="s">
        <v>3581</v>
      </c>
      <c r="AS810" t="s">
        <v>2473</v>
      </c>
      <c r="AT810" t="s">
        <v>3559</v>
      </c>
      <c r="AU810" s="642">
        <v>78850314</v>
      </c>
    </row>
    <row r="811" spans="43:47" ht="12.9" x14ac:dyDescent="0.35">
      <c r="AQ811" s="641">
        <v>6309</v>
      </c>
      <c r="AR811" t="s">
        <v>3582</v>
      </c>
      <c r="AS811" t="s">
        <v>3583</v>
      </c>
      <c r="AT811" t="s">
        <v>3584</v>
      </c>
      <c r="AU811" s="642">
        <v>1720784</v>
      </c>
    </row>
    <row r="812" spans="43:47" ht="12.9" x14ac:dyDescent="0.35">
      <c r="AQ812" s="641">
        <v>6313</v>
      </c>
      <c r="AR812" t="s">
        <v>3585</v>
      </c>
      <c r="AS812" t="s">
        <v>3586</v>
      </c>
      <c r="AT812" t="s">
        <v>3584</v>
      </c>
      <c r="AU812" s="642">
        <v>2429401</v>
      </c>
    </row>
    <row r="813" spans="43:47" ht="12.9" x14ac:dyDescent="0.35">
      <c r="AQ813" s="641">
        <v>6321</v>
      </c>
      <c r="AR813" t="s">
        <v>3587</v>
      </c>
      <c r="AS813" t="s">
        <v>3588</v>
      </c>
      <c r="AT813" t="s">
        <v>3584</v>
      </c>
      <c r="AU813" s="642">
        <v>8319893</v>
      </c>
    </row>
    <row r="814" spans="43:47" ht="12.9" x14ac:dyDescent="0.35">
      <c r="AQ814" s="641">
        <v>6325</v>
      </c>
      <c r="AR814" t="s">
        <v>3589</v>
      </c>
      <c r="AS814" t="s">
        <v>2821</v>
      </c>
      <c r="AT814" t="s">
        <v>3584</v>
      </c>
      <c r="AU814" s="642">
        <v>14443244</v>
      </c>
    </row>
    <row r="815" spans="43:47" ht="12.9" x14ac:dyDescent="0.35">
      <c r="AQ815" s="641">
        <v>6332</v>
      </c>
      <c r="AR815" t="s">
        <v>3590</v>
      </c>
      <c r="AS815" t="s">
        <v>3591</v>
      </c>
      <c r="AT815" t="s">
        <v>3584</v>
      </c>
      <c r="AU815" s="642">
        <v>508348</v>
      </c>
    </row>
    <row r="816" spans="43:47" ht="12.9" x14ac:dyDescent="0.35">
      <c r="AQ816" s="641">
        <v>6341</v>
      </c>
      <c r="AR816" t="s">
        <v>3592</v>
      </c>
      <c r="AS816" t="s">
        <v>3593</v>
      </c>
      <c r="AT816" t="s">
        <v>3584</v>
      </c>
      <c r="AU816" s="642">
        <v>522754</v>
      </c>
    </row>
    <row r="817" spans="43:47" ht="12.9" x14ac:dyDescent="0.35">
      <c r="AQ817" s="641">
        <v>6347</v>
      </c>
      <c r="AR817" t="s">
        <v>3594</v>
      </c>
      <c r="AS817" t="s">
        <v>3595</v>
      </c>
      <c r="AT817" t="s">
        <v>3584</v>
      </c>
      <c r="AU817" s="642">
        <v>267064</v>
      </c>
    </row>
    <row r="818" spans="43:47" ht="12.9" x14ac:dyDescent="0.35">
      <c r="AQ818" s="641">
        <v>6349</v>
      </c>
      <c r="AR818" t="s">
        <v>3596</v>
      </c>
      <c r="AS818" t="s">
        <v>3597</v>
      </c>
      <c r="AT818" t="s">
        <v>3584</v>
      </c>
      <c r="AU818" s="642">
        <v>1311071</v>
      </c>
    </row>
    <row r="819" spans="43:47" ht="12.9" x14ac:dyDescent="0.35">
      <c r="AQ819" s="641">
        <v>6353</v>
      </c>
      <c r="AR819" t="s">
        <v>3598</v>
      </c>
      <c r="AS819" t="s">
        <v>3599</v>
      </c>
      <c r="AT819" t="s">
        <v>3584</v>
      </c>
      <c r="AU819" s="642">
        <v>1275007</v>
      </c>
    </row>
    <row r="820" spans="43:47" ht="12.9" x14ac:dyDescent="0.35">
      <c r="AQ820" s="641">
        <v>6357</v>
      </c>
      <c r="AR820" t="s">
        <v>3600</v>
      </c>
      <c r="AS820" t="s">
        <v>3601</v>
      </c>
      <c r="AT820" t="s">
        <v>3584</v>
      </c>
      <c r="AU820" s="642">
        <v>53188837</v>
      </c>
    </row>
    <row r="821" spans="43:47" ht="12.9" x14ac:dyDescent="0.35">
      <c r="AQ821" s="641">
        <v>6417</v>
      </c>
      <c r="AR821" t="s">
        <v>3602</v>
      </c>
      <c r="AS821" t="s">
        <v>3603</v>
      </c>
      <c r="AT821" t="s">
        <v>3584</v>
      </c>
      <c r="AU821" s="642">
        <v>780933</v>
      </c>
    </row>
    <row r="822" spans="43:47" ht="12.9" x14ac:dyDescent="0.35">
      <c r="AQ822" s="641">
        <v>6419</v>
      </c>
      <c r="AR822" t="s">
        <v>3604</v>
      </c>
      <c r="AS822" t="s">
        <v>3605</v>
      </c>
      <c r="AT822" t="s">
        <v>3584</v>
      </c>
      <c r="AU822" s="642">
        <v>17105534</v>
      </c>
    </row>
    <row r="823" spans="43:47" ht="12.9" x14ac:dyDescent="0.35">
      <c r="AQ823" s="641">
        <v>6421</v>
      </c>
      <c r="AR823" t="s">
        <v>3606</v>
      </c>
      <c r="AS823" t="s">
        <v>3607</v>
      </c>
      <c r="AT823" t="s">
        <v>3584</v>
      </c>
      <c r="AU823" s="642">
        <v>2840774</v>
      </c>
    </row>
    <row r="824" spans="43:47" ht="12.9" x14ac:dyDescent="0.35">
      <c r="AQ824" s="641">
        <v>6437</v>
      </c>
      <c r="AR824" t="s">
        <v>3608</v>
      </c>
      <c r="AS824" t="s">
        <v>3609</v>
      </c>
      <c r="AT824" t="s">
        <v>3584</v>
      </c>
      <c r="AU824" s="642">
        <v>22015483</v>
      </c>
    </row>
    <row r="825" spans="43:47" ht="12.9" x14ac:dyDescent="0.35">
      <c r="AQ825" s="641">
        <v>6477</v>
      </c>
      <c r="AR825" t="s">
        <v>3610</v>
      </c>
      <c r="AS825" t="s">
        <v>2858</v>
      </c>
      <c r="AT825" t="s">
        <v>3584</v>
      </c>
      <c r="AU825" s="642">
        <v>618135</v>
      </c>
    </row>
    <row r="826" spans="43:47" ht="12.9" x14ac:dyDescent="0.35">
      <c r="AQ826" s="641">
        <v>6479</v>
      </c>
      <c r="AR826" t="s">
        <v>3611</v>
      </c>
      <c r="AS826" t="s">
        <v>3612</v>
      </c>
      <c r="AT826" t="s">
        <v>3584</v>
      </c>
      <c r="AU826" s="642">
        <v>218172</v>
      </c>
    </row>
    <row r="827" spans="43:47" ht="12.9" x14ac:dyDescent="0.35">
      <c r="AQ827" s="641">
        <v>6481</v>
      </c>
      <c r="AR827" t="s">
        <v>3613</v>
      </c>
      <c r="AS827" t="s">
        <v>3614</v>
      </c>
      <c r="AT827" t="s">
        <v>3584</v>
      </c>
      <c r="AU827" s="642">
        <v>103889235</v>
      </c>
    </row>
    <row r="828" spans="43:47" ht="12.9" x14ac:dyDescent="0.35">
      <c r="AQ828" s="641">
        <v>6553</v>
      </c>
      <c r="AR828" t="s">
        <v>3615</v>
      </c>
      <c r="AS828" t="s">
        <v>3616</v>
      </c>
      <c r="AT828" t="s">
        <v>3584</v>
      </c>
      <c r="AU828" s="642">
        <v>2568744</v>
      </c>
    </row>
    <row r="829" spans="43:47" ht="12.9" x14ac:dyDescent="0.35">
      <c r="AQ829" s="641">
        <v>6561</v>
      </c>
      <c r="AR829" t="s">
        <v>3617</v>
      </c>
      <c r="AS829" t="s">
        <v>3618</v>
      </c>
      <c r="AT829" t="s">
        <v>3584</v>
      </c>
      <c r="AU829" s="642">
        <v>3225675</v>
      </c>
    </row>
    <row r="830" spans="43:47" ht="12.9" x14ac:dyDescent="0.35">
      <c r="AQ830" s="641">
        <v>6569</v>
      </c>
      <c r="AR830" t="s">
        <v>3619</v>
      </c>
      <c r="AS830" t="s">
        <v>3620</v>
      </c>
      <c r="AT830" t="s">
        <v>3584</v>
      </c>
      <c r="AU830" s="642">
        <v>1402823</v>
      </c>
    </row>
    <row r="831" spans="43:47" ht="12.9" x14ac:dyDescent="0.35">
      <c r="AQ831" s="641">
        <v>6577</v>
      </c>
      <c r="AR831" t="s">
        <v>3621</v>
      </c>
      <c r="AS831" t="s">
        <v>3622</v>
      </c>
      <c r="AT831" t="s">
        <v>3584</v>
      </c>
      <c r="AU831" s="642">
        <v>758499</v>
      </c>
    </row>
    <row r="832" spans="43:47" ht="12.9" x14ac:dyDescent="0.35">
      <c r="AQ832" s="641">
        <v>6581</v>
      </c>
      <c r="AR832" t="s">
        <v>3623</v>
      </c>
      <c r="AS832" t="s">
        <v>3624</v>
      </c>
      <c r="AT832" t="s">
        <v>3584</v>
      </c>
      <c r="AU832" s="642">
        <v>1605477</v>
      </c>
    </row>
    <row r="833" spans="43:47" ht="12.9" x14ac:dyDescent="0.35">
      <c r="AQ833" s="641">
        <v>6589</v>
      </c>
      <c r="AR833" t="s">
        <v>3625</v>
      </c>
      <c r="AS833" t="s">
        <v>3626</v>
      </c>
      <c r="AT833" t="s">
        <v>3584</v>
      </c>
      <c r="AU833" s="642">
        <v>1940733</v>
      </c>
    </row>
    <row r="834" spans="43:47" ht="12.9" x14ac:dyDescent="0.35">
      <c r="AQ834" s="641">
        <v>6593</v>
      </c>
      <c r="AR834" t="s">
        <v>3627</v>
      </c>
      <c r="AS834" t="s">
        <v>3628</v>
      </c>
      <c r="AT834" t="s">
        <v>3584</v>
      </c>
      <c r="AU834" s="642">
        <v>19545879</v>
      </c>
    </row>
    <row r="835" spans="43:47" ht="12.9" x14ac:dyDescent="0.35">
      <c r="AQ835" s="641">
        <v>6596</v>
      </c>
      <c r="AR835" t="s">
        <v>3629</v>
      </c>
      <c r="AS835" t="s">
        <v>3630</v>
      </c>
      <c r="AT835" t="s">
        <v>3584</v>
      </c>
      <c r="AU835" s="642">
        <v>861629</v>
      </c>
    </row>
    <row r="836" spans="43:47" ht="12.9" x14ac:dyDescent="0.35">
      <c r="AQ836" s="641">
        <v>6627</v>
      </c>
      <c r="AR836" t="s">
        <v>3631</v>
      </c>
      <c r="AS836" t="s">
        <v>3632</v>
      </c>
      <c r="AT836" t="s">
        <v>3584</v>
      </c>
      <c r="AU836" s="642">
        <v>1470604</v>
      </c>
    </row>
    <row r="837" spans="43:47" ht="12.9" x14ac:dyDescent="0.35">
      <c r="AQ837" s="641">
        <v>6635</v>
      </c>
      <c r="AR837" t="s">
        <v>3633</v>
      </c>
      <c r="AS837" t="s">
        <v>3634</v>
      </c>
      <c r="AT837" t="s">
        <v>3584</v>
      </c>
      <c r="AU837" s="642">
        <v>2425865</v>
      </c>
    </row>
    <row r="838" spans="43:47" ht="12.9" x14ac:dyDescent="0.35">
      <c r="AQ838" s="641">
        <v>6639</v>
      </c>
      <c r="AR838" t="s">
        <v>3635</v>
      </c>
      <c r="AS838" t="s">
        <v>3636</v>
      </c>
      <c r="AT838" t="s">
        <v>3584</v>
      </c>
      <c r="AU838" s="642">
        <v>3596819</v>
      </c>
    </row>
    <row r="839" spans="43:47" ht="12.9" x14ac:dyDescent="0.35">
      <c r="AQ839" s="641">
        <v>6647</v>
      </c>
      <c r="AR839" t="s">
        <v>3637</v>
      </c>
      <c r="AS839" t="s">
        <v>3638</v>
      </c>
      <c r="AT839" t="s">
        <v>3584</v>
      </c>
      <c r="AU839" s="642">
        <v>2827482</v>
      </c>
    </row>
    <row r="840" spans="43:47" ht="12.9" x14ac:dyDescent="0.35">
      <c r="AQ840" s="641">
        <v>6655</v>
      </c>
      <c r="AR840" t="s">
        <v>3639</v>
      </c>
      <c r="AS840" t="s">
        <v>3640</v>
      </c>
      <c r="AT840" t="s">
        <v>3641</v>
      </c>
      <c r="AU840" s="642">
        <v>1117149</v>
      </c>
    </row>
    <row r="841" spans="43:47" ht="12.9" x14ac:dyDescent="0.35">
      <c r="AQ841" s="641">
        <v>6663</v>
      </c>
      <c r="AR841" t="s">
        <v>3642</v>
      </c>
      <c r="AS841" t="s">
        <v>2537</v>
      </c>
      <c r="AT841" t="s">
        <v>3643</v>
      </c>
      <c r="AU841" s="642">
        <v>7322062</v>
      </c>
    </row>
    <row r="842" spans="43:47" ht="12.9" x14ac:dyDescent="0.35">
      <c r="AQ842" s="641">
        <v>6667</v>
      </c>
      <c r="AR842" t="s">
        <v>3644</v>
      </c>
      <c r="AS842" t="s">
        <v>3645</v>
      </c>
      <c r="AT842" t="s">
        <v>3643</v>
      </c>
      <c r="AU842" s="642">
        <v>547000</v>
      </c>
    </row>
    <row r="843" spans="43:47" ht="12.9" x14ac:dyDescent="0.35">
      <c r="AQ843" s="641">
        <v>6677</v>
      </c>
      <c r="AR843" t="s">
        <v>3646</v>
      </c>
      <c r="AS843" t="s">
        <v>3647</v>
      </c>
      <c r="AT843" t="s">
        <v>3648</v>
      </c>
      <c r="AU843" s="642">
        <v>1105278</v>
      </c>
    </row>
    <row r="844" spans="43:47" ht="12.9" x14ac:dyDescent="0.35">
      <c r="AQ844" s="641">
        <v>6678</v>
      </c>
      <c r="AR844" t="s">
        <v>3649</v>
      </c>
      <c r="AS844" t="s">
        <v>3650</v>
      </c>
      <c r="AT844" t="s">
        <v>3648</v>
      </c>
      <c r="AU844" s="642">
        <v>2350707</v>
      </c>
    </row>
    <row r="845" spans="43:47" ht="12.9" x14ac:dyDescent="0.35">
      <c r="AQ845" s="641">
        <v>6679</v>
      </c>
      <c r="AR845" t="s">
        <v>3651</v>
      </c>
      <c r="AS845" t="s">
        <v>3652</v>
      </c>
      <c r="AT845" t="s">
        <v>3648</v>
      </c>
      <c r="AU845" s="642">
        <v>1297781</v>
      </c>
    </row>
    <row r="846" spans="43:47" ht="12.9" x14ac:dyDescent="0.35">
      <c r="AQ846" s="641">
        <v>6680</v>
      </c>
      <c r="AR846" t="s">
        <v>3653</v>
      </c>
      <c r="AS846" t="s">
        <v>3654</v>
      </c>
      <c r="AT846" t="s">
        <v>3648</v>
      </c>
      <c r="AU846" s="642">
        <v>1446269</v>
      </c>
    </row>
    <row r="847" spans="43:47" ht="12.9" x14ac:dyDescent="0.35">
      <c r="AQ847" s="641">
        <v>6682</v>
      </c>
      <c r="AR847" t="s">
        <v>3655</v>
      </c>
      <c r="AS847" t="s">
        <v>3656</v>
      </c>
      <c r="AT847" t="s">
        <v>3648</v>
      </c>
      <c r="AU847" s="642">
        <v>785584</v>
      </c>
    </row>
    <row r="848" spans="43:47" ht="12.9" x14ac:dyDescent="0.35">
      <c r="AQ848" s="641">
        <v>6693</v>
      </c>
      <c r="AR848" t="s">
        <v>3657</v>
      </c>
      <c r="AS848" t="s">
        <v>2355</v>
      </c>
      <c r="AT848" t="s">
        <v>3648</v>
      </c>
      <c r="AU848" s="642">
        <v>856431</v>
      </c>
    </row>
    <row r="849" spans="43:47" ht="12.9" x14ac:dyDescent="0.35">
      <c r="AQ849" s="641">
        <v>6698</v>
      </c>
      <c r="AR849" t="s">
        <v>3658</v>
      </c>
      <c r="AS849" t="s">
        <v>3659</v>
      </c>
      <c r="AT849" t="s">
        <v>3648</v>
      </c>
      <c r="AU849" s="642">
        <v>512111</v>
      </c>
    </row>
    <row r="850" spans="43:47" ht="12.9" x14ac:dyDescent="0.35">
      <c r="AQ850" s="641">
        <v>6709</v>
      </c>
      <c r="AR850" t="s">
        <v>3660</v>
      </c>
      <c r="AS850" t="s">
        <v>3399</v>
      </c>
      <c r="AT850" t="s">
        <v>3648</v>
      </c>
      <c r="AU850" s="642">
        <v>1193343</v>
      </c>
    </row>
    <row r="851" spans="43:47" ht="12.9" x14ac:dyDescent="0.35">
      <c r="AQ851" s="641">
        <v>6712</v>
      </c>
      <c r="AR851" t="s">
        <v>3661</v>
      </c>
      <c r="AS851" t="s">
        <v>3662</v>
      </c>
      <c r="AT851" t="s">
        <v>3648</v>
      </c>
      <c r="AU851" s="642">
        <v>7839382</v>
      </c>
    </row>
    <row r="852" spans="43:47" ht="12.9" x14ac:dyDescent="0.35">
      <c r="AQ852" s="641">
        <v>6718</v>
      </c>
      <c r="AR852" t="s">
        <v>3663</v>
      </c>
      <c r="AS852" t="s">
        <v>3664</v>
      </c>
      <c r="AT852" t="s">
        <v>3648</v>
      </c>
      <c r="AU852" s="642">
        <v>434770</v>
      </c>
    </row>
    <row r="853" spans="43:47" ht="12.9" x14ac:dyDescent="0.35">
      <c r="AQ853" s="641">
        <v>6720</v>
      </c>
      <c r="AR853" t="s">
        <v>3665</v>
      </c>
      <c r="AS853" t="s">
        <v>3666</v>
      </c>
      <c r="AT853" t="s">
        <v>3648</v>
      </c>
      <c r="AU853" s="642">
        <v>320581</v>
      </c>
    </row>
    <row r="854" spans="43:47" ht="12.9" x14ac:dyDescent="0.35">
      <c r="AQ854" s="641">
        <v>6721</v>
      </c>
      <c r="AR854" t="s">
        <v>3667</v>
      </c>
      <c r="AS854" t="s">
        <v>3666</v>
      </c>
      <c r="AT854" t="s">
        <v>3648</v>
      </c>
      <c r="AU854" s="642">
        <v>7465016</v>
      </c>
    </row>
    <row r="855" spans="43:47" ht="12.9" x14ac:dyDescent="0.35">
      <c r="AQ855" s="641">
        <v>6722</v>
      </c>
      <c r="AR855" t="s">
        <v>3668</v>
      </c>
      <c r="AS855" t="s">
        <v>3184</v>
      </c>
      <c r="AT855" t="s">
        <v>3648</v>
      </c>
      <c r="AU855" s="642">
        <v>2210371</v>
      </c>
    </row>
    <row r="856" spans="43:47" ht="12.9" x14ac:dyDescent="0.35">
      <c r="AQ856" s="641">
        <v>6724</v>
      </c>
      <c r="AR856" t="s">
        <v>3669</v>
      </c>
      <c r="AS856" t="s">
        <v>2611</v>
      </c>
      <c r="AT856" t="s">
        <v>3648</v>
      </c>
      <c r="AU856" s="642">
        <v>621779</v>
      </c>
    </row>
    <row r="857" spans="43:47" ht="12.9" x14ac:dyDescent="0.35">
      <c r="AQ857" s="641">
        <v>6730</v>
      </c>
      <c r="AR857" t="s">
        <v>3670</v>
      </c>
      <c r="AS857" t="s">
        <v>3671</v>
      </c>
      <c r="AT857" t="s">
        <v>3648</v>
      </c>
      <c r="AU857" s="642">
        <v>686905</v>
      </c>
    </row>
    <row r="858" spans="43:47" ht="12.9" x14ac:dyDescent="0.35">
      <c r="AQ858" s="641">
        <v>6731</v>
      </c>
      <c r="AR858" t="s">
        <v>3672</v>
      </c>
      <c r="AS858" t="s">
        <v>2491</v>
      </c>
      <c r="AT858" t="s">
        <v>3648</v>
      </c>
      <c r="AU858" s="642">
        <v>1716011</v>
      </c>
    </row>
    <row r="859" spans="43:47" ht="12.9" x14ac:dyDescent="0.35">
      <c r="AQ859" s="641">
        <v>6733</v>
      </c>
      <c r="AR859" t="s">
        <v>3673</v>
      </c>
      <c r="AS859" t="s">
        <v>3674</v>
      </c>
      <c r="AT859" t="s">
        <v>3648</v>
      </c>
      <c r="AU859" s="642">
        <v>17124918</v>
      </c>
    </row>
    <row r="860" spans="43:47" ht="12.9" x14ac:dyDescent="0.35">
      <c r="AQ860" s="641">
        <v>6737</v>
      </c>
      <c r="AR860" t="s">
        <v>3675</v>
      </c>
      <c r="AS860" t="s">
        <v>2940</v>
      </c>
      <c r="AT860" t="s">
        <v>3648</v>
      </c>
      <c r="AU860" s="642">
        <v>44450869</v>
      </c>
    </row>
    <row r="861" spans="43:47" ht="12.9" x14ac:dyDescent="0.35">
      <c r="AQ861" s="641">
        <v>6741</v>
      </c>
      <c r="AR861" t="s">
        <v>3676</v>
      </c>
      <c r="AS861" t="s">
        <v>2940</v>
      </c>
      <c r="AT861" t="s">
        <v>3648</v>
      </c>
      <c r="AU861" s="642">
        <v>1048999</v>
      </c>
    </row>
    <row r="862" spans="43:47" ht="12.9" x14ac:dyDescent="0.35">
      <c r="AQ862" s="641">
        <v>6742</v>
      </c>
      <c r="AR862" t="s">
        <v>3677</v>
      </c>
      <c r="AS862" t="s">
        <v>3678</v>
      </c>
      <c r="AT862" t="s">
        <v>3648</v>
      </c>
      <c r="AU862" s="642">
        <v>197087</v>
      </c>
    </row>
    <row r="863" spans="43:47" ht="12.9" x14ac:dyDescent="0.35">
      <c r="AQ863" s="641">
        <v>6753</v>
      </c>
      <c r="AR863" t="s">
        <v>3679</v>
      </c>
      <c r="AS863" t="s">
        <v>2968</v>
      </c>
      <c r="AT863" t="s">
        <v>3648</v>
      </c>
      <c r="AU863" s="642">
        <v>2415959</v>
      </c>
    </row>
    <row r="864" spans="43:47" ht="12.9" x14ac:dyDescent="0.35">
      <c r="AQ864" s="641">
        <v>6759</v>
      </c>
      <c r="AR864" t="s">
        <v>3680</v>
      </c>
      <c r="AS864" t="s">
        <v>3681</v>
      </c>
      <c r="AT864" t="s">
        <v>3648</v>
      </c>
      <c r="AU864" s="642">
        <v>454788</v>
      </c>
    </row>
    <row r="865" spans="43:47" ht="12.9" x14ac:dyDescent="0.35">
      <c r="AQ865" s="641">
        <v>6760</v>
      </c>
      <c r="AR865" t="s">
        <v>3682</v>
      </c>
      <c r="AS865" t="s">
        <v>3683</v>
      </c>
      <c r="AT865" t="s">
        <v>3648</v>
      </c>
      <c r="AU865" s="642">
        <v>204849</v>
      </c>
    </row>
    <row r="866" spans="43:47" ht="12.9" x14ac:dyDescent="0.35">
      <c r="AQ866" s="641">
        <v>6765</v>
      </c>
      <c r="AR866" t="s">
        <v>3684</v>
      </c>
      <c r="AS866" t="s">
        <v>3685</v>
      </c>
      <c r="AT866" t="s">
        <v>3648</v>
      </c>
      <c r="AU866" s="642">
        <v>521131</v>
      </c>
    </row>
    <row r="867" spans="43:47" ht="12.9" x14ac:dyDescent="0.35">
      <c r="AQ867" s="641">
        <v>6769</v>
      </c>
      <c r="AR867" t="s">
        <v>3686</v>
      </c>
      <c r="AS867" t="s">
        <v>2524</v>
      </c>
      <c r="AT867" t="s">
        <v>3648</v>
      </c>
      <c r="AU867" s="642">
        <v>36514720</v>
      </c>
    </row>
    <row r="868" spans="43:47" ht="12.9" x14ac:dyDescent="0.35">
      <c r="AQ868" s="641">
        <v>6797</v>
      </c>
      <c r="AR868" t="s">
        <v>3687</v>
      </c>
      <c r="AS868" t="s">
        <v>3688</v>
      </c>
      <c r="AT868" t="s">
        <v>3648</v>
      </c>
      <c r="AU868" s="642">
        <v>6970338</v>
      </c>
    </row>
    <row r="869" spans="43:47" ht="12.9" x14ac:dyDescent="0.35">
      <c r="AQ869" s="641">
        <v>6803</v>
      </c>
      <c r="AR869" t="s">
        <v>3689</v>
      </c>
      <c r="AS869" t="s">
        <v>3690</v>
      </c>
      <c r="AT869" t="s">
        <v>3648</v>
      </c>
      <c r="AU869" s="642">
        <v>2021485</v>
      </c>
    </row>
    <row r="870" spans="43:47" ht="12.9" x14ac:dyDescent="0.35">
      <c r="AQ870" s="641">
        <v>6807</v>
      </c>
      <c r="AR870" t="s">
        <v>3691</v>
      </c>
      <c r="AS870" t="s">
        <v>3481</v>
      </c>
      <c r="AT870" t="s">
        <v>3648</v>
      </c>
      <c r="AU870" s="642">
        <v>1268203</v>
      </c>
    </row>
    <row r="871" spans="43:47" ht="12.9" x14ac:dyDescent="0.35">
      <c r="AQ871" s="641">
        <v>6811</v>
      </c>
      <c r="AR871" t="s">
        <v>3692</v>
      </c>
      <c r="AS871" t="s">
        <v>3693</v>
      </c>
      <c r="AT871" t="s">
        <v>3694</v>
      </c>
      <c r="AU871" s="642">
        <v>2779157</v>
      </c>
    </row>
    <row r="872" spans="43:47" ht="12.9" x14ac:dyDescent="0.35">
      <c r="AQ872" s="641">
        <v>6819</v>
      </c>
      <c r="AR872" t="s">
        <v>3695</v>
      </c>
      <c r="AS872" t="s">
        <v>3696</v>
      </c>
      <c r="AT872" t="s">
        <v>3694</v>
      </c>
      <c r="AU872" s="642">
        <v>4037058</v>
      </c>
    </row>
    <row r="873" spans="43:47" ht="12.9" x14ac:dyDescent="0.35">
      <c r="AQ873" s="641">
        <v>6827</v>
      </c>
      <c r="AR873" t="s">
        <v>3697</v>
      </c>
      <c r="AS873" t="s">
        <v>3698</v>
      </c>
      <c r="AT873" t="s">
        <v>3694</v>
      </c>
      <c r="AU873" s="642">
        <v>2119525</v>
      </c>
    </row>
    <row r="874" spans="43:47" ht="12.9" x14ac:dyDescent="0.35">
      <c r="AQ874" s="641">
        <v>6835</v>
      </c>
      <c r="AR874" t="s">
        <v>3699</v>
      </c>
      <c r="AS874" t="s">
        <v>3700</v>
      </c>
      <c r="AT874" t="s">
        <v>3694</v>
      </c>
      <c r="AU874" s="642">
        <v>19119630</v>
      </c>
    </row>
    <row r="875" spans="43:47" ht="12.9" x14ac:dyDescent="0.35">
      <c r="AQ875" s="641">
        <v>6847</v>
      </c>
      <c r="AR875" t="s">
        <v>3701</v>
      </c>
      <c r="AS875" t="s">
        <v>3702</v>
      </c>
      <c r="AT875" t="s">
        <v>3694</v>
      </c>
      <c r="AU875" s="642">
        <v>1161909</v>
      </c>
    </row>
    <row r="876" spans="43:47" ht="12.9" x14ac:dyDescent="0.35">
      <c r="AQ876" s="641">
        <v>6851</v>
      </c>
      <c r="AR876" t="s">
        <v>3703</v>
      </c>
      <c r="AS876" t="s">
        <v>3704</v>
      </c>
      <c r="AT876" t="s">
        <v>3694</v>
      </c>
      <c r="AU876" s="642">
        <v>1529484</v>
      </c>
    </row>
    <row r="877" spans="43:47" ht="12.9" x14ac:dyDescent="0.35">
      <c r="AQ877" s="641">
        <v>6855</v>
      </c>
      <c r="AR877" t="s">
        <v>3705</v>
      </c>
      <c r="AS877" t="s">
        <v>3271</v>
      </c>
      <c r="AT877" t="s">
        <v>3694</v>
      </c>
      <c r="AU877" s="642">
        <v>3549722</v>
      </c>
    </row>
    <row r="878" spans="43:47" ht="12.9" x14ac:dyDescent="0.35">
      <c r="AQ878" s="641">
        <v>6859</v>
      </c>
      <c r="AR878" t="s">
        <v>3706</v>
      </c>
      <c r="AS878" t="s">
        <v>3707</v>
      </c>
      <c r="AT878" t="s">
        <v>3694</v>
      </c>
      <c r="AU878" s="642">
        <v>8002765</v>
      </c>
    </row>
    <row r="879" spans="43:47" ht="12.9" x14ac:dyDescent="0.35">
      <c r="AQ879" s="641">
        <v>6867</v>
      </c>
      <c r="AR879" t="s">
        <v>3708</v>
      </c>
      <c r="AS879" t="s">
        <v>3709</v>
      </c>
      <c r="AT879" t="s">
        <v>3694</v>
      </c>
      <c r="AU879" s="642" t="s">
        <v>2059</v>
      </c>
    </row>
    <row r="880" spans="43:47" ht="12.9" x14ac:dyDescent="0.35">
      <c r="AQ880" s="641">
        <v>6871</v>
      </c>
      <c r="AR880" t="s">
        <v>3710</v>
      </c>
      <c r="AS880" t="s">
        <v>3711</v>
      </c>
      <c r="AT880" t="s">
        <v>3694</v>
      </c>
      <c r="AU880" s="642">
        <v>57102755</v>
      </c>
    </row>
    <row r="881" spans="43:47" ht="12.9" x14ac:dyDescent="0.35">
      <c r="AQ881" s="641">
        <v>6935</v>
      </c>
      <c r="AR881" t="s">
        <v>3712</v>
      </c>
      <c r="AS881" t="s">
        <v>3713</v>
      </c>
      <c r="AT881" t="s">
        <v>3694</v>
      </c>
      <c r="AU881" s="642">
        <v>8660105</v>
      </c>
    </row>
    <row r="882" spans="43:47" ht="12.9" x14ac:dyDescent="0.35">
      <c r="AQ882" s="641">
        <v>6947</v>
      </c>
      <c r="AR882" t="s">
        <v>3714</v>
      </c>
      <c r="AS882" t="s">
        <v>3715</v>
      </c>
      <c r="AT882" t="s">
        <v>3694</v>
      </c>
      <c r="AU882" s="642">
        <v>33772037</v>
      </c>
    </row>
    <row r="883" spans="43:47" ht="12.9" x14ac:dyDescent="0.35">
      <c r="AQ883" s="641">
        <v>6953</v>
      </c>
      <c r="AR883" t="s">
        <v>3716</v>
      </c>
      <c r="AS883" t="s">
        <v>3717</v>
      </c>
      <c r="AT883" t="s">
        <v>3694</v>
      </c>
      <c r="AU883" s="642">
        <v>2700970</v>
      </c>
    </row>
    <row r="884" spans="43:47" ht="12.9" x14ac:dyDescent="0.35">
      <c r="AQ884" s="641">
        <v>6957</v>
      </c>
      <c r="AR884" t="s">
        <v>3718</v>
      </c>
      <c r="AS884" t="s">
        <v>3719</v>
      </c>
      <c r="AT884" t="s">
        <v>3694</v>
      </c>
      <c r="AU884" s="642">
        <v>2120127</v>
      </c>
    </row>
    <row r="885" spans="43:47" ht="12.9" x14ac:dyDescent="0.35">
      <c r="AQ885" s="641">
        <v>6961</v>
      </c>
      <c r="AR885" t="s">
        <v>3720</v>
      </c>
      <c r="AS885" t="s">
        <v>3721</v>
      </c>
      <c r="AT885" t="s">
        <v>3694</v>
      </c>
      <c r="AU885" s="642">
        <v>3331866</v>
      </c>
    </row>
    <row r="886" spans="43:47" ht="12.9" x14ac:dyDescent="0.35">
      <c r="AQ886" s="641">
        <v>6971</v>
      </c>
      <c r="AR886" t="s">
        <v>3722</v>
      </c>
      <c r="AS886" t="s">
        <v>3723</v>
      </c>
      <c r="AT886" t="s">
        <v>3724</v>
      </c>
      <c r="AU886" s="642">
        <v>2331263</v>
      </c>
    </row>
    <row r="887" spans="43:47" ht="12.9" x14ac:dyDescent="0.35">
      <c r="AQ887" s="641">
        <v>6979</v>
      </c>
      <c r="AR887" t="s">
        <v>3725</v>
      </c>
      <c r="AS887" t="s">
        <v>3521</v>
      </c>
      <c r="AT887" t="s">
        <v>3724</v>
      </c>
      <c r="AU887" s="642">
        <v>4298833</v>
      </c>
    </row>
    <row r="888" spans="43:47" ht="12.9" x14ac:dyDescent="0.35">
      <c r="AQ888" s="641">
        <v>6989</v>
      </c>
      <c r="AR888" t="s">
        <v>3726</v>
      </c>
      <c r="AS888" t="s">
        <v>3727</v>
      </c>
      <c r="AT888" t="s">
        <v>3724</v>
      </c>
      <c r="AU888" s="642">
        <v>2227764</v>
      </c>
    </row>
    <row r="889" spans="43:47" ht="12.9" x14ac:dyDescent="0.35">
      <c r="AQ889" s="641">
        <v>6999</v>
      </c>
      <c r="AR889" t="s">
        <v>3728</v>
      </c>
      <c r="AS889" t="s">
        <v>3729</v>
      </c>
      <c r="AT889" t="s">
        <v>3724</v>
      </c>
      <c r="AU889" s="642">
        <v>429344</v>
      </c>
    </row>
    <row r="890" spans="43:47" ht="12.9" x14ac:dyDescent="0.35">
      <c r="AQ890" s="641">
        <v>7007</v>
      </c>
      <c r="AR890" t="s">
        <v>3730</v>
      </c>
      <c r="AS890" t="s">
        <v>3731</v>
      </c>
      <c r="AT890" t="s">
        <v>3724</v>
      </c>
      <c r="AU890" s="642">
        <v>1232525</v>
      </c>
    </row>
    <row r="891" spans="43:47" ht="12.9" x14ac:dyDescent="0.35">
      <c r="AQ891" s="641">
        <v>7015</v>
      </c>
      <c r="AR891" t="s">
        <v>3732</v>
      </c>
      <c r="AS891" t="s">
        <v>2475</v>
      </c>
      <c r="AT891" t="s">
        <v>3724</v>
      </c>
      <c r="AU891" s="642">
        <v>3945773</v>
      </c>
    </row>
    <row r="892" spans="43:47" ht="12.9" x14ac:dyDescent="0.35">
      <c r="AQ892" s="641">
        <v>7025</v>
      </c>
      <c r="AR892" t="s">
        <v>3733</v>
      </c>
      <c r="AS892" t="s">
        <v>3734</v>
      </c>
      <c r="AT892" t="s">
        <v>3724</v>
      </c>
      <c r="AU892" s="642">
        <v>2263557</v>
      </c>
    </row>
    <row r="893" spans="43:47" ht="12.9" x14ac:dyDescent="0.35">
      <c r="AQ893" s="641">
        <v>7029</v>
      </c>
      <c r="AR893" t="s">
        <v>3735</v>
      </c>
      <c r="AS893" t="s">
        <v>3736</v>
      </c>
      <c r="AT893" t="s">
        <v>3724</v>
      </c>
      <c r="AU893" s="642">
        <v>1020414</v>
      </c>
    </row>
    <row r="894" spans="43:47" ht="12.9" x14ac:dyDescent="0.35">
      <c r="AQ894" s="641">
        <v>7032</v>
      </c>
      <c r="AR894" t="s">
        <v>3737</v>
      </c>
      <c r="AS894" t="s">
        <v>3738</v>
      </c>
      <c r="AT894" t="s">
        <v>3724</v>
      </c>
      <c r="AU894" s="642">
        <v>1424209</v>
      </c>
    </row>
    <row r="895" spans="43:47" ht="12.9" x14ac:dyDescent="0.35">
      <c r="AQ895" s="641">
        <v>7033</v>
      </c>
      <c r="AR895" t="s">
        <v>3739</v>
      </c>
      <c r="AS895" t="s">
        <v>3740</v>
      </c>
      <c r="AT895" t="s">
        <v>3741</v>
      </c>
      <c r="AU895" s="642">
        <v>16562840</v>
      </c>
    </row>
    <row r="896" spans="43:47" ht="12.9" x14ac:dyDescent="0.35">
      <c r="AQ896" s="641">
        <v>7037</v>
      </c>
      <c r="AR896" t="s">
        <v>3742</v>
      </c>
      <c r="AS896" t="s">
        <v>3743</v>
      </c>
      <c r="AT896" t="s">
        <v>3741</v>
      </c>
      <c r="AU896" s="642">
        <v>2241584</v>
      </c>
    </row>
    <row r="897" spans="43:47" ht="12.9" x14ac:dyDescent="0.35">
      <c r="AQ897" s="641">
        <v>7041</v>
      </c>
      <c r="AR897" t="s">
        <v>3744</v>
      </c>
      <c r="AS897" t="s">
        <v>3745</v>
      </c>
      <c r="AT897" t="s">
        <v>3741</v>
      </c>
      <c r="AU897" s="642">
        <v>3457647</v>
      </c>
    </row>
    <row r="898" spans="43:47" ht="12.9" x14ac:dyDescent="0.35">
      <c r="AQ898" s="641">
        <v>7043</v>
      </c>
      <c r="AR898" t="s">
        <v>3746</v>
      </c>
      <c r="AS898" t="s">
        <v>3747</v>
      </c>
      <c r="AT898" t="s">
        <v>3741</v>
      </c>
      <c r="AU898" s="642">
        <v>3288020</v>
      </c>
    </row>
    <row r="899" spans="43:47" ht="12.9" x14ac:dyDescent="0.35">
      <c r="AQ899" s="641">
        <v>7048</v>
      </c>
      <c r="AR899" t="s">
        <v>3748</v>
      </c>
      <c r="AS899" t="s">
        <v>3749</v>
      </c>
      <c r="AT899" t="s">
        <v>3741</v>
      </c>
      <c r="AU899" s="642">
        <v>2669178</v>
      </c>
    </row>
    <row r="900" spans="43:47" ht="12.9" x14ac:dyDescent="0.35">
      <c r="AQ900" s="641">
        <v>7049</v>
      </c>
      <c r="AR900" t="s">
        <v>3750</v>
      </c>
      <c r="AS900" t="s">
        <v>3751</v>
      </c>
      <c r="AT900" t="s">
        <v>3741</v>
      </c>
      <c r="AU900" s="642">
        <v>4930648</v>
      </c>
    </row>
    <row r="901" spans="43:47" ht="12.9" x14ac:dyDescent="0.35">
      <c r="AQ901" s="641">
        <v>7053</v>
      </c>
      <c r="AR901" t="s">
        <v>3752</v>
      </c>
      <c r="AS901" t="s">
        <v>3753</v>
      </c>
      <c r="AT901" t="s">
        <v>3741</v>
      </c>
      <c r="AU901" s="642">
        <v>1741671</v>
      </c>
    </row>
    <row r="902" spans="43:47" ht="12.9" x14ac:dyDescent="0.35">
      <c r="AQ902" s="641">
        <v>7057</v>
      </c>
      <c r="AR902" t="s">
        <v>3754</v>
      </c>
      <c r="AS902" t="s">
        <v>3755</v>
      </c>
      <c r="AT902" t="s">
        <v>2768</v>
      </c>
      <c r="AU902" s="642">
        <v>1111818</v>
      </c>
    </row>
    <row r="903" spans="43:47" ht="12.9" x14ac:dyDescent="0.35">
      <c r="AQ903" s="641">
        <v>7061</v>
      </c>
      <c r="AR903" t="s">
        <v>3756</v>
      </c>
      <c r="AS903" t="s">
        <v>3757</v>
      </c>
      <c r="AT903" t="s">
        <v>3741</v>
      </c>
      <c r="AU903" s="642">
        <v>11838842</v>
      </c>
    </row>
    <row r="904" spans="43:47" ht="12.9" x14ac:dyDescent="0.35">
      <c r="AQ904" s="641">
        <v>7066</v>
      </c>
      <c r="AR904" t="s">
        <v>3758</v>
      </c>
      <c r="AS904" t="s">
        <v>3759</v>
      </c>
      <c r="AT904" t="s">
        <v>3741</v>
      </c>
      <c r="AU904" s="642">
        <v>2751254</v>
      </c>
    </row>
    <row r="905" spans="43:47" ht="12.9" x14ac:dyDescent="0.35">
      <c r="AQ905" s="641">
        <v>7067</v>
      </c>
      <c r="AR905" t="s">
        <v>3760</v>
      </c>
      <c r="AS905" t="s">
        <v>3761</v>
      </c>
      <c r="AT905" t="s">
        <v>3741</v>
      </c>
      <c r="AU905" s="642">
        <v>2164873</v>
      </c>
    </row>
    <row r="906" spans="43:47" ht="12.9" x14ac:dyDescent="0.35">
      <c r="AQ906" s="641">
        <v>7073</v>
      </c>
      <c r="AR906" t="s">
        <v>3762</v>
      </c>
      <c r="AS906" t="s">
        <v>3763</v>
      </c>
      <c r="AT906" t="s">
        <v>3741</v>
      </c>
      <c r="AU906" s="642">
        <v>6162502</v>
      </c>
    </row>
    <row r="907" spans="43:47" ht="12.9" x14ac:dyDescent="0.35">
      <c r="AQ907" s="641">
        <v>7077</v>
      </c>
      <c r="AR907" t="s">
        <v>3764</v>
      </c>
      <c r="AS907" t="s">
        <v>3765</v>
      </c>
      <c r="AT907" t="s">
        <v>3741</v>
      </c>
      <c r="AU907" s="642">
        <v>1205706</v>
      </c>
    </row>
    <row r="908" spans="43:47" ht="12.9" x14ac:dyDescent="0.35">
      <c r="AQ908" s="641">
        <v>7081</v>
      </c>
      <c r="AR908" t="s">
        <v>3766</v>
      </c>
      <c r="AS908" t="s">
        <v>2999</v>
      </c>
      <c r="AT908" t="s">
        <v>3741</v>
      </c>
      <c r="AU908" s="642">
        <v>12048528</v>
      </c>
    </row>
    <row r="909" spans="43:47" ht="12.9" x14ac:dyDescent="0.35">
      <c r="AQ909" s="641">
        <v>7095</v>
      </c>
      <c r="AR909" t="s">
        <v>3767</v>
      </c>
      <c r="AS909" t="s">
        <v>3768</v>
      </c>
      <c r="AT909" t="s">
        <v>3741</v>
      </c>
      <c r="AU909" s="642">
        <v>1628288</v>
      </c>
    </row>
    <row r="910" spans="43:47" ht="12.9" x14ac:dyDescent="0.35">
      <c r="AQ910" s="641">
        <v>7101</v>
      </c>
      <c r="AR910" t="s">
        <v>3769</v>
      </c>
      <c r="AS910" t="s">
        <v>3770</v>
      </c>
      <c r="AT910" t="s">
        <v>3741</v>
      </c>
      <c r="AU910" s="642">
        <v>3183809</v>
      </c>
    </row>
    <row r="911" spans="43:47" ht="12.9" x14ac:dyDescent="0.35">
      <c r="AQ911" s="641">
        <v>7104</v>
      </c>
      <c r="AR911" t="s">
        <v>3771</v>
      </c>
      <c r="AS911" t="s">
        <v>3772</v>
      </c>
      <c r="AT911" t="s">
        <v>3741</v>
      </c>
      <c r="AU911" s="642">
        <v>3247057</v>
      </c>
    </row>
    <row r="912" spans="43:47" ht="12.9" x14ac:dyDescent="0.35">
      <c r="AQ912" s="641">
        <v>7105</v>
      </c>
      <c r="AR912" t="s">
        <v>3773</v>
      </c>
      <c r="AS912" t="s">
        <v>3774</v>
      </c>
      <c r="AT912" t="s">
        <v>3741</v>
      </c>
      <c r="AU912" s="642">
        <v>42446040</v>
      </c>
    </row>
    <row r="913" spans="43:47" ht="12.9" x14ac:dyDescent="0.35">
      <c r="AQ913" s="641">
        <v>7109</v>
      </c>
      <c r="AR913" t="s">
        <v>3775</v>
      </c>
      <c r="AS913" t="s">
        <v>2648</v>
      </c>
      <c r="AT913" t="s">
        <v>3741</v>
      </c>
      <c r="AU913" s="642">
        <v>1069751</v>
      </c>
    </row>
    <row r="914" spans="43:47" ht="12.9" x14ac:dyDescent="0.35">
      <c r="AQ914" s="641">
        <v>7151</v>
      </c>
      <c r="AR914" t="s">
        <v>3776</v>
      </c>
      <c r="AS914" t="s">
        <v>3777</v>
      </c>
      <c r="AT914" t="s">
        <v>3741</v>
      </c>
      <c r="AU914" s="642">
        <v>6922481</v>
      </c>
    </row>
    <row r="915" spans="43:47" ht="12.9" x14ac:dyDescent="0.35">
      <c r="AQ915" s="641">
        <v>7155</v>
      </c>
      <c r="AR915" t="s">
        <v>3778</v>
      </c>
      <c r="AS915" t="s">
        <v>3779</v>
      </c>
      <c r="AT915" t="s">
        <v>3741</v>
      </c>
      <c r="AU915" s="642">
        <v>6013542</v>
      </c>
    </row>
    <row r="916" spans="43:47" ht="12.9" x14ac:dyDescent="0.35">
      <c r="AQ916" s="641">
        <v>7159</v>
      </c>
      <c r="AR916" t="s">
        <v>3780</v>
      </c>
      <c r="AS916" t="s">
        <v>3781</v>
      </c>
      <c r="AT916" t="s">
        <v>3741</v>
      </c>
      <c r="AU916" s="642">
        <v>2254409</v>
      </c>
    </row>
    <row r="917" spans="43:47" ht="12.9" x14ac:dyDescent="0.35">
      <c r="AQ917" s="641">
        <v>7162</v>
      </c>
      <c r="AR917" t="s">
        <v>3782</v>
      </c>
      <c r="AS917" t="s">
        <v>3783</v>
      </c>
      <c r="AT917" t="s">
        <v>3741</v>
      </c>
      <c r="AU917" s="642">
        <v>2318321</v>
      </c>
    </row>
    <row r="918" spans="43:47" ht="12.9" x14ac:dyDescent="0.35">
      <c r="AQ918" s="641">
        <v>7163</v>
      </c>
      <c r="AR918" t="s">
        <v>3784</v>
      </c>
      <c r="AS918" t="s">
        <v>3785</v>
      </c>
      <c r="AT918" t="s">
        <v>3741</v>
      </c>
      <c r="AU918" s="642">
        <v>3209956</v>
      </c>
    </row>
    <row r="919" spans="43:47" ht="12.9" x14ac:dyDescent="0.35">
      <c r="AQ919" s="641">
        <v>7167</v>
      </c>
      <c r="AR919" t="s">
        <v>3786</v>
      </c>
      <c r="AS919" t="s">
        <v>3787</v>
      </c>
      <c r="AT919" t="s">
        <v>3741</v>
      </c>
      <c r="AU919" s="642">
        <v>1882810</v>
      </c>
    </row>
    <row r="920" spans="43:47" ht="12.9" x14ac:dyDescent="0.35">
      <c r="AQ920" s="641">
        <v>7169</v>
      </c>
      <c r="AR920" t="s">
        <v>3788</v>
      </c>
      <c r="AS920" t="s">
        <v>3789</v>
      </c>
      <c r="AT920" t="s">
        <v>3741</v>
      </c>
      <c r="AU920" s="642">
        <v>3737077</v>
      </c>
    </row>
    <row r="921" spans="43:47" ht="12.9" x14ac:dyDescent="0.35">
      <c r="AQ921" s="641">
        <v>7171</v>
      </c>
      <c r="AR921" t="s">
        <v>3790</v>
      </c>
      <c r="AS921" t="s">
        <v>3791</v>
      </c>
      <c r="AT921" t="s">
        <v>3741</v>
      </c>
      <c r="AU921" s="642">
        <v>1642877</v>
      </c>
    </row>
    <row r="922" spans="43:47" ht="12.9" x14ac:dyDescent="0.35">
      <c r="AQ922" s="641">
        <v>7175</v>
      </c>
      <c r="AR922" t="s">
        <v>3792</v>
      </c>
      <c r="AS922" t="s">
        <v>3793</v>
      </c>
      <c r="AT922" t="s">
        <v>3741</v>
      </c>
      <c r="AU922" s="642">
        <v>3374112</v>
      </c>
    </row>
    <row r="923" spans="43:47" ht="12.9" x14ac:dyDescent="0.35">
      <c r="AQ923" s="641">
        <v>7179</v>
      </c>
      <c r="AR923" t="s">
        <v>3794</v>
      </c>
      <c r="AS923" t="s">
        <v>3795</v>
      </c>
      <c r="AT923" t="s">
        <v>3741</v>
      </c>
      <c r="AU923" s="642">
        <v>5150665</v>
      </c>
    </row>
    <row r="924" spans="43:47" ht="12.9" x14ac:dyDescent="0.35">
      <c r="AQ924" s="641">
        <v>7183</v>
      </c>
      <c r="AR924" t="s">
        <v>3796</v>
      </c>
      <c r="AS924" t="s">
        <v>3797</v>
      </c>
      <c r="AT924" t="s">
        <v>3741</v>
      </c>
      <c r="AU924" s="642">
        <v>4276387</v>
      </c>
    </row>
    <row r="925" spans="43:47" ht="12.9" x14ac:dyDescent="0.35">
      <c r="AQ925" s="641">
        <v>7185</v>
      </c>
      <c r="AR925" t="s">
        <v>3798</v>
      </c>
      <c r="AS925" t="s">
        <v>3799</v>
      </c>
      <c r="AT925" t="s">
        <v>3800</v>
      </c>
      <c r="AU925" s="642">
        <v>731553</v>
      </c>
    </row>
    <row r="926" spans="43:47" ht="12.9" x14ac:dyDescent="0.35">
      <c r="AQ926" s="641">
        <v>7187</v>
      </c>
      <c r="AR926" t="s">
        <v>3801</v>
      </c>
      <c r="AS926" t="s">
        <v>3065</v>
      </c>
      <c r="AT926" t="s">
        <v>3800</v>
      </c>
      <c r="AU926" s="642">
        <v>633906</v>
      </c>
    </row>
    <row r="927" spans="43:47" ht="12.9" x14ac:dyDescent="0.35">
      <c r="AQ927" s="641">
        <v>7189</v>
      </c>
      <c r="AR927" t="s">
        <v>3802</v>
      </c>
      <c r="AS927" t="s">
        <v>3803</v>
      </c>
      <c r="AT927" t="s">
        <v>3800</v>
      </c>
      <c r="AU927" s="642">
        <v>2047517</v>
      </c>
    </row>
    <row r="928" spans="43:47" ht="12.9" x14ac:dyDescent="0.35">
      <c r="AQ928" s="641">
        <v>7193</v>
      </c>
      <c r="AR928" t="s">
        <v>3804</v>
      </c>
      <c r="AS928" t="s">
        <v>3805</v>
      </c>
      <c r="AT928" t="s">
        <v>3800</v>
      </c>
      <c r="AU928" s="642">
        <v>2387032</v>
      </c>
    </row>
    <row r="929" spans="43:47" ht="12.9" x14ac:dyDescent="0.35">
      <c r="AQ929" s="641">
        <v>9572</v>
      </c>
      <c r="AR929" t="s">
        <v>3806</v>
      </c>
      <c r="AS929" t="s">
        <v>2639</v>
      </c>
      <c r="AT929" t="s">
        <v>3648</v>
      </c>
      <c r="AU929" s="642">
        <v>24184757</v>
      </c>
    </row>
    <row r="1830" spans="27:27" x14ac:dyDescent="0.3">
      <c r="AA1830" s="81">
        <v>4</v>
      </c>
    </row>
  </sheetData>
  <sheetProtection selectLockedCells="1" selectUnlockedCells="1"/>
  <mergeCells count="29">
    <mergeCell ref="AN148:AO148"/>
    <mergeCell ref="D151:D155"/>
    <mergeCell ref="D157:D164"/>
    <mergeCell ref="D148:E148"/>
    <mergeCell ref="I149:N149"/>
    <mergeCell ref="D166:D170"/>
    <mergeCell ref="D172:D176"/>
    <mergeCell ref="D178:D184"/>
    <mergeCell ref="D186:D191"/>
    <mergeCell ref="D193:D197"/>
    <mergeCell ref="AN1:AO1"/>
    <mergeCell ref="D73:D78"/>
    <mergeCell ref="I2:N2"/>
    <mergeCell ref="D1:E1"/>
    <mergeCell ref="D61:E61"/>
    <mergeCell ref="D4:D13"/>
    <mergeCell ref="D15:D26"/>
    <mergeCell ref="D40:D44"/>
    <mergeCell ref="D28:D32"/>
    <mergeCell ref="D34:D38"/>
    <mergeCell ref="AN61:AP61"/>
    <mergeCell ref="AN58:AP58"/>
    <mergeCell ref="A148:B148"/>
    <mergeCell ref="A61:B61"/>
    <mergeCell ref="I62:N62"/>
    <mergeCell ref="D64:D70"/>
    <mergeCell ref="J67:M67"/>
    <mergeCell ref="D81:D85"/>
    <mergeCell ref="D88:D92"/>
  </mergeCells>
  <phoneticPr fontId="2" type="noConversion"/>
  <pageMargins left="0.75" right="0.75" top="1" bottom="1" header="0.5" footer="0.5"/>
  <pageSetup orientation="portrait" horizontalDpi="4294967293"/>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F311"/>
  <sheetViews>
    <sheetView topLeftCell="A236" workbookViewId="0">
      <selection activeCell="L279" sqref="L279"/>
    </sheetView>
  </sheetViews>
  <sheetFormatPr defaultColWidth="2.3046875" defaultRowHeight="11.6" x14ac:dyDescent="0.3"/>
  <cols>
    <col min="1" max="16384" width="2.3046875" style="231"/>
  </cols>
  <sheetData>
    <row r="1" spans="1:58" x14ac:dyDescent="0.3">
      <c r="Z1" s="231" t="s">
        <v>679</v>
      </c>
      <c r="AE1" s="231" t="s">
        <v>678</v>
      </c>
    </row>
    <row r="2" spans="1:58" x14ac:dyDescent="0.3">
      <c r="Z2" s="231" t="s">
        <v>87</v>
      </c>
      <c r="AE2" s="231" t="s">
        <v>579</v>
      </c>
    </row>
    <row r="3" spans="1:58" x14ac:dyDescent="0.3">
      <c r="AE3" s="231" t="s">
        <v>580</v>
      </c>
    </row>
    <row r="4" spans="1:58" x14ac:dyDescent="0.3">
      <c r="AE4" s="231" t="s">
        <v>581</v>
      </c>
    </row>
    <row r="5" spans="1:58" x14ac:dyDescent="0.3">
      <c r="A5" s="231" t="s">
        <v>678</v>
      </c>
      <c r="J5" s="231" t="s">
        <v>678</v>
      </c>
      <c r="AE5" s="231" t="s">
        <v>582</v>
      </c>
    </row>
    <row r="6" spans="1:58" x14ac:dyDescent="0.3">
      <c r="A6" s="231" t="s">
        <v>584</v>
      </c>
      <c r="J6" s="231" t="s">
        <v>584</v>
      </c>
      <c r="W6" s="231" t="s">
        <v>96</v>
      </c>
      <c r="AE6" s="231" t="s">
        <v>256</v>
      </c>
    </row>
    <row r="7" spans="1:58" x14ac:dyDescent="0.3">
      <c r="A7" s="231" t="s">
        <v>585</v>
      </c>
      <c r="J7" s="231" t="s">
        <v>585</v>
      </c>
      <c r="AE7" s="231" t="s">
        <v>86</v>
      </c>
      <c r="AQ7" s="231" t="s">
        <v>1787</v>
      </c>
      <c r="AT7" s="231" t="s">
        <v>678</v>
      </c>
    </row>
    <row r="8" spans="1:58" x14ac:dyDescent="0.3">
      <c r="A8" s="231" t="s">
        <v>678</v>
      </c>
      <c r="J8" s="231" t="s">
        <v>1607</v>
      </c>
      <c r="W8" s="231" t="s">
        <v>95</v>
      </c>
      <c r="AQ8" s="231" t="s">
        <v>935</v>
      </c>
      <c r="AT8" s="231" t="s">
        <v>1786</v>
      </c>
      <c r="BC8" s="231" t="s">
        <v>936</v>
      </c>
      <c r="BF8" s="231" t="s">
        <v>678</v>
      </c>
    </row>
    <row r="9" spans="1:58" x14ac:dyDescent="0.3">
      <c r="A9" s="231" t="s">
        <v>585</v>
      </c>
      <c r="AT9" s="231" t="s">
        <v>937</v>
      </c>
      <c r="BF9" s="231" t="s">
        <v>938</v>
      </c>
    </row>
    <row r="10" spans="1:58" x14ac:dyDescent="0.3">
      <c r="A10" s="231" t="s">
        <v>586</v>
      </c>
      <c r="AT10" s="231" t="s">
        <v>939</v>
      </c>
      <c r="BF10" s="231" t="s">
        <v>940</v>
      </c>
    </row>
    <row r="11" spans="1:58" x14ac:dyDescent="0.3">
      <c r="A11" s="231" t="s">
        <v>587</v>
      </c>
      <c r="AT11" s="231" t="s">
        <v>946</v>
      </c>
      <c r="BF11" s="231" t="s">
        <v>941</v>
      </c>
    </row>
    <row r="12" spans="1:58" x14ac:dyDescent="0.3">
      <c r="A12" s="231" t="s">
        <v>1449</v>
      </c>
      <c r="AQ12" s="231" t="s">
        <v>942</v>
      </c>
      <c r="AT12" s="231" t="s">
        <v>678</v>
      </c>
      <c r="BF12" s="231" t="s">
        <v>943</v>
      </c>
    </row>
    <row r="13" spans="1:58" x14ac:dyDescent="0.3">
      <c r="A13" s="231" t="s">
        <v>1997</v>
      </c>
      <c r="AT13" s="231" t="s">
        <v>944</v>
      </c>
      <c r="BF13" s="231" t="s">
        <v>945</v>
      </c>
    </row>
    <row r="14" spans="1:58" x14ac:dyDescent="0.3">
      <c r="A14" s="231" t="s">
        <v>678</v>
      </c>
      <c r="W14" s="231" t="s">
        <v>94</v>
      </c>
      <c r="AT14" s="231" t="s">
        <v>946</v>
      </c>
    </row>
    <row r="15" spans="1:58" x14ac:dyDescent="0.3">
      <c r="A15" s="231" t="s">
        <v>591</v>
      </c>
      <c r="AT15" s="231" t="s">
        <v>947</v>
      </c>
      <c r="BC15" s="231" t="s">
        <v>1080</v>
      </c>
      <c r="BF15" s="231" t="s">
        <v>678</v>
      </c>
    </row>
    <row r="16" spans="1:58" x14ac:dyDescent="0.3">
      <c r="A16" s="231" t="s">
        <v>166</v>
      </c>
      <c r="AT16" s="231" t="s">
        <v>1788</v>
      </c>
      <c r="BF16" s="231" t="s">
        <v>948</v>
      </c>
    </row>
    <row r="17" spans="1:58" x14ac:dyDescent="0.3">
      <c r="A17" s="231" t="s">
        <v>165</v>
      </c>
      <c r="AQ17" s="231" t="s">
        <v>949</v>
      </c>
      <c r="AT17" s="231" t="s">
        <v>678</v>
      </c>
      <c r="AY17" s="231" t="s">
        <v>1626</v>
      </c>
      <c r="BF17" s="231" t="s">
        <v>950</v>
      </c>
    </row>
    <row r="18" spans="1:58" x14ac:dyDescent="0.3">
      <c r="A18" s="231" t="s">
        <v>592</v>
      </c>
      <c r="AT18" s="231" t="s">
        <v>951</v>
      </c>
      <c r="AZ18" s="353" t="s">
        <v>1627</v>
      </c>
      <c r="BF18" s="231" t="s">
        <v>952</v>
      </c>
    </row>
    <row r="19" spans="1:58" x14ac:dyDescent="0.3">
      <c r="A19" s="231" t="s">
        <v>593</v>
      </c>
      <c r="AT19" s="231" t="s">
        <v>953</v>
      </c>
      <c r="AZ19" s="353" t="s">
        <v>1627</v>
      </c>
      <c r="BF19" s="231" t="s">
        <v>954</v>
      </c>
    </row>
    <row r="20" spans="1:58" x14ac:dyDescent="0.3">
      <c r="A20" s="231" t="s">
        <v>488</v>
      </c>
      <c r="O20" s="354"/>
      <c r="P20" s="354"/>
      <c r="Q20" s="354"/>
      <c r="R20" s="354"/>
      <c r="S20" s="354"/>
      <c r="W20" s="231" t="s">
        <v>441</v>
      </c>
      <c r="AT20" s="231" t="s">
        <v>1903</v>
      </c>
      <c r="AZ20" s="353" t="s">
        <v>1627</v>
      </c>
      <c r="BF20" s="231" t="s">
        <v>1079</v>
      </c>
    </row>
    <row r="21" spans="1:58" x14ac:dyDescent="0.3">
      <c r="A21" s="231" t="s">
        <v>598</v>
      </c>
      <c r="W21" s="231" t="s">
        <v>93</v>
      </c>
      <c r="AT21" s="231" t="s">
        <v>955</v>
      </c>
      <c r="AZ21" s="353" t="s">
        <v>1627</v>
      </c>
    </row>
    <row r="22" spans="1:58" x14ac:dyDescent="0.3">
      <c r="A22" s="231" t="s">
        <v>599</v>
      </c>
      <c r="AT22" s="231" t="s">
        <v>1625</v>
      </c>
      <c r="AZ22" s="353" t="s">
        <v>1628</v>
      </c>
    </row>
    <row r="23" spans="1:58" x14ac:dyDescent="0.3">
      <c r="A23" s="231" t="s">
        <v>603</v>
      </c>
      <c r="AQ23" s="231" t="s">
        <v>956</v>
      </c>
      <c r="AU23" s="231" t="s">
        <v>678</v>
      </c>
    </row>
    <row r="24" spans="1:58" x14ac:dyDescent="0.3">
      <c r="A24" s="231" t="s">
        <v>600</v>
      </c>
      <c r="AU24" s="231" t="s">
        <v>894</v>
      </c>
    </row>
    <row r="25" spans="1:58" x14ac:dyDescent="0.3">
      <c r="A25" s="231" t="s">
        <v>601</v>
      </c>
      <c r="AU25" s="231" t="s">
        <v>957</v>
      </c>
    </row>
    <row r="26" spans="1:58" x14ac:dyDescent="0.3">
      <c r="A26" s="231" t="s">
        <v>602</v>
      </c>
      <c r="AU26" s="231" t="s">
        <v>958</v>
      </c>
    </row>
    <row r="27" spans="1:58" x14ac:dyDescent="0.3">
      <c r="A27" s="231" t="s">
        <v>489</v>
      </c>
      <c r="W27" s="231" t="s">
        <v>442</v>
      </c>
      <c r="AU27" s="231" t="s">
        <v>959</v>
      </c>
      <c r="BC27" s="231" t="s">
        <v>1789</v>
      </c>
      <c r="BF27" s="231" t="s">
        <v>678</v>
      </c>
    </row>
    <row r="28" spans="1:58" x14ac:dyDescent="0.3">
      <c r="A28" s="231" t="s">
        <v>604</v>
      </c>
      <c r="W28" s="231" t="s">
        <v>92</v>
      </c>
      <c r="BF28" s="231" t="s">
        <v>1790</v>
      </c>
    </row>
    <row r="29" spans="1:58" x14ac:dyDescent="0.3">
      <c r="A29" s="231" t="s">
        <v>605</v>
      </c>
      <c r="AQ29" s="231" t="s">
        <v>960</v>
      </c>
      <c r="AU29" s="231" t="s">
        <v>678</v>
      </c>
      <c r="BF29" s="231" t="s">
        <v>1791</v>
      </c>
    </row>
    <row r="30" spans="1:58" x14ac:dyDescent="0.3">
      <c r="A30" s="231" t="s">
        <v>606</v>
      </c>
      <c r="AU30" s="231" t="s">
        <v>1760</v>
      </c>
      <c r="BF30" s="231" t="s">
        <v>1792</v>
      </c>
    </row>
    <row r="31" spans="1:58" x14ac:dyDescent="0.3">
      <c r="A31" s="231" t="s">
        <v>607</v>
      </c>
      <c r="AU31" s="231" t="s">
        <v>961</v>
      </c>
      <c r="BF31" s="231" t="s">
        <v>591</v>
      </c>
    </row>
    <row r="32" spans="1:58" x14ac:dyDescent="0.3">
      <c r="A32" s="231" t="s">
        <v>443</v>
      </c>
      <c r="AU32" s="231" t="s">
        <v>962</v>
      </c>
    </row>
    <row r="33" spans="1:47" x14ac:dyDescent="0.3">
      <c r="AU33" s="231" t="s">
        <v>963</v>
      </c>
    </row>
    <row r="34" spans="1:47" x14ac:dyDescent="0.3">
      <c r="A34" s="231" t="s">
        <v>77</v>
      </c>
      <c r="W34" s="231" t="s">
        <v>91</v>
      </c>
      <c r="AU34" s="231" t="s">
        <v>964</v>
      </c>
    </row>
    <row r="35" spans="1:47" x14ac:dyDescent="0.3">
      <c r="A35" s="231" t="s">
        <v>76</v>
      </c>
      <c r="AU35" s="231" t="s">
        <v>965</v>
      </c>
    </row>
    <row r="36" spans="1:47" x14ac:dyDescent="0.3">
      <c r="A36" s="231" t="s">
        <v>75</v>
      </c>
      <c r="AU36" s="231" t="s">
        <v>966</v>
      </c>
    </row>
    <row r="37" spans="1:47" x14ac:dyDescent="0.3">
      <c r="A37" s="231" t="s">
        <v>74</v>
      </c>
    </row>
    <row r="38" spans="1:47" x14ac:dyDescent="0.3">
      <c r="A38" s="231" t="s">
        <v>73</v>
      </c>
      <c r="AQ38" s="231" t="s">
        <v>967</v>
      </c>
      <c r="AU38" s="231" t="s">
        <v>678</v>
      </c>
    </row>
    <row r="39" spans="1:47" x14ac:dyDescent="0.3">
      <c r="A39" s="231" t="s">
        <v>72</v>
      </c>
      <c r="AU39" s="231" t="s">
        <v>968</v>
      </c>
    </row>
    <row r="40" spans="1:47" x14ac:dyDescent="0.3">
      <c r="A40" s="231" t="s">
        <v>71</v>
      </c>
      <c r="AU40" s="231" t="s">
        <v>969</v>
      </c>
    </row>
    <row r="41" spans="1:47" x14ac:dyDescent="0.3">
      <c r="A41" s="231" t="s">
        <v>445</v>
      </c>
      <c r="AU41" s="231" t="s">
        <v>970</v>
      </c>
    </row>
    <row r="42" spans="1:47" x14ac:dyDescent="0.3">
      <c r="A42" s="231" t="s">
        <v>610</v>
      </c>
      <c r="AU42" s="231" t="s">
        <v>971</v>
      </c>
    </row>
    <row r="43" spans="1:47" x14ac:dyDescent="0.3">
      <c r="A43" s="231" t="s">
        <v>609</v>
      </c>
      <c r="AU43" s="231" t="s">
        <v>972</v>
      </c>
    </row>
    <row r="44" spans="1:47" x14ac:dyDescent="0.3">
      <c r="A44" s="231" t="s">
        <v>608</v>
      </c>
      <c r="AU44" s="231" t="s">
        <v>973</v>
      </c>
    </row>
    <row r="45" spans="1:47" x14ac:dyDescent="0.3">
      <c r="A45" s="231" t="s">
        <v>444</v>
      </c>
      <c r="AU45" s="231" t="s">
        <v>974</v>
      </c>
    </row>
    <row r="47" spans="1:47" x14ac:dyDescent="0.3">
      <c r="A47" s="231" t="s">
        <v>78</v>
      </c>
      <c r="W47" s="231" t="s">
        <v>90</v>
      </c>
      <c r="AQ47" s="231" t="s">
        <v>975</v>
      </c>
      <c r="AU47" s="231" t="s">
        <v>678</v>
      </c>
    </row>
    <row r="48" spans="1:47" x14ac:dyDescent="0.3">
      <c r="A48" s="231" t="s">
        <v>80</v>
      </c>
      <c r="AU48" s="231" t="s">
        <v>976</v>
      </c>
    </row>
    <row r="49" spans="1:47" x14ac:dyDescent="0.3">
      <c r="A49" s="231" t="s">
        <v>79</v>
      </c>
      <c r="AU49" s="231" t="s">
        <v>977</v>
      </c>
    </row>
    <row r="50" spans="1:47" x14ac:dyDescent="0.3">
      <c r="A50" s="231" t="s">
        <v>81</v>
      </c>
    </row>
    <row r="51" spans="1:47" x14ac:dyDescent="0.3">
      <c r="A51" s="231" t="s">
        <v>462</v>
      </c>
      <c r="W51" s="231" t="s">
        <v>448</v>
      </c>
      <c r="AQ51" s="231" t="s">
        <v>978</v>
      </c>
      <c r="AU51" s="231" t="s">
        <v>678</v>
      </c>
    </row>
    <row r="52" spans="1:47" x14ac:dyDescent="0.3">
      <c r="A52" s="231" t="s">
        <v>447</v>
      </c>
      <c r="W52" s="231" t="s">
        <v>89</v>
      </c>
      <c r="AU52" s="231" t="s">
        <v>591</v>
      </c>
    </row>
    <row r="53" spans="1:47" x14ac:dyDescent="0.3">
      <c r="A53" s="231" t="s">
        <v>446</v>
      </c>
      <c r="AU53" s="231" t="s">
        <v>979</v>
      </c>
    </row>
    <row r="54" spans="1:47" x14ac:dyDescent="0.3">
      <c r="A54" s="231" t="s">
        <v>450</v>
      </c>
      <c r="AU54" s="231" t="s">
        <v>980</v>
      </c>
    </row>
    <row r="55" spans="1:47" x14ac:dyDescent="0.3">
      <c r="A55" s="231" t="s">
        <v>451</v>
      </c>
      <c r="AU55" s="231" t="s">
        <v>981</v>
      </c>
    </row>
    <row r="56" spans="1:47" x14ac:dyDescent="0.3">
      <c r="A56" s="231" t="s">
        <v>449</v>
      </c>
      <c r="AU56" s="231" t="s">
        <v>1850</v>
      </c>
    </row>
    <row r="57" spans="1:47" x14ac:dyDescent="0.3">
      <c r="A57" s="231" t="s">
        <v>82</v>
      </c>
    </row>
    <row r="58" spans="1:47" x14ac:dyDescent="0.3">
      <c r="A58" s="231" t="s">
        <v>460</v>
      </c>
      <c r="W58" s="231" t="s">
        <v>456</v>
      </c>
      <c r="AQ58" s="231" t="s">
        <v>982</v>
      </c>
      <c r="AU58" s="231" t="s">
        <v>678</v>
      </c>
    </row>
    <row r="59" spans="1:47" x14ac:dyDescent="0.3">
      <c r="A59" s="231" t="s">
        <v>452</v>
      </c>
      <c r="AU59" s="231" t="s">
        <v>1586</v>
      </c>
    </row>
    <row r="60" spans="1:47" x14ac:dyDescent="0.3">
      <c r="A60" s="231" t="s">
        <v>453</v>
      </c>
      <c r="AU60" s="231" t="s">
        <v>983</v>
      </c>
    </row>
    <row r="61" spans="1:47" x14ac:dyDescent="0.3">
      <c r="A61" s="231" t="s">
        <v>454</v>
      </c>
      <c r="AU61" s="231" t="s">
        <v>984</v>
      </c>
    </row>
    <row r="62" spans="1:47" x14ac:dyDescent="0.3">
      <c r="A62" s="231" t="s">
        <v>455</v>
      </c>
    </row>
    <row r="63" spans="1:47" x14ac:dyDescent="0.3">
      <c r="AQ63" s="231" t="s">
        <v>985</v>
      </c>
      <c r="AU63" s="231" t="s">
        <v>678</v>
      </c>
    </row>
    <row r="64" spans="1:47" x14ac:dyDescent="0.3">
      <c r="A64" s="231" t="s">
        <v>457</v>
      </c>
      <c r="W64" s="231" t="s">
        <v>88</v>
      </c>
      <c r="AU64" s="231" t="s">
        <v>1587</v>
      </c>
    </row>
    <row r="65" spans="1:47" x14ac:dyDescent="0.3">
      <c r="AU65" s="231" t="s">
        <v>986</v>
      </c>
    </row>
    <row r="66" spans="1:47" x14ac:dyDescent="0.3">
      <c r="A66" s="231" t="s">
        <v>83</v>
      </c>
      <c r="AU66" s="231" t="s">
        <v>1588</v>
      </c>
    </row>
    <row r="67" spans="1:47" x14ac:dyDescent="0.3">
      <c r="A67" s="231" t="s">
        <v>459</v>
      </c>
    </row>
    <row r="68" spans="1:47" x14ac:dyDescent="0.3">
      <c r="A68" s="231" t="s">
        <v>458</v>
      </c>
      <c r="AQ68" s="231" t="s">
        <v>1636</v>
      </c>
      <c r="AU68" s="231" t="s">
        <v>1748</v>
      </c>
    </row>
    <row r="69" spans="1:47" x14ac:dyDescent="0.3">
      <c r="A69" s="231" t="s">
        <v>482</v>
      </c>
      <c r="W69" s="231" t="s">
        <v>461</v>
      </c>
      <c r="AU69" s="231" t="s">
        <v>569</v>
      </c>
    </row>
    <row r="70" spans="1:47" x14ac:dyDescent="0.3">
      <c r="A70" s="231" t="s">
        <v>465</v>
      </c>
      <c r="AU70" s="231" t="s">
        <v>570</v>
      </c>
    </row>
    <row r="71" spans="1:47" x14ac:dyDescent="0.3">
      <c r="A71" s="231" t="s">
        <v>466</v>
      </c>
      <c r="AU71" s="231" t="s">
        <v>571</v>
      </c>
    </row>
    <row r="72" spans="1:47" x14ac:dyDescent="0.3">
      <c r="A72" s="231" t="s">
        <v>480</v>
      </c>
      <c r="AU72" s="231" t="s">
        <v>572</v>
      </c>
    </row>
    <row r="73" spans="1:47" x14ac:dyDescent="0.3">
      <c r="A73" s="231" t="s">
        <v>481</v>
      </c>
      <c r="AU73" s="231" t="s">
        <v>568</v>
      </c>
    </row>
    <row r="74" spans="1:47" x14ac:dyDescent="0.3">
      <c r="A74" s="231" t="s">
        <v>84</v>
      </c>
    </row>
    <row r="76" spans="1:47" x14ac:dyDescent="0.3">
      <c r="A76" s="231" t="s">
        <v>483</v>
      </c>
      <c r="W76" s="231" t="s">
        <v>464</v>
      </c>
      <c r="AQ76" s="231" t="s">
        <v>1701</v>
      </c>
      <c r="AU76" s="231" t="s">
        <v>1702</v>
      </c>
    </row>
    <row r="77" spans="1:47" x14ac:dyDescent="0.3">
      <c r="A77" s="231" t="s">
        <v>1315</v>
      </c>
      <c r="AU77" s="231" t="s">
        <v>1703</v>
      </c>
    </row>
    <row r="78" spans="1:47" x14ac:dyDescent="0.3">
      <c r="A78" s="231" t="s">
        <v>487</v>
      </c>
      <c r="AU78" s="231" t="s">
        <v>1704</v>
      </c>
    </row>
    <row r="79" spans="1:47" x14ac:dyDescent="0.3">
      <c r="A79" s="231" t="s">
        <v>1316</v>
      </c>
      <c r="AU79" s="231" t="s">
        <v>1705</v>
      </c>
    </row>
    <row r="80" spans="1:47" x14ac:dyDescent="0.3">
      <c r="A80" s="231" t="s">
        <v>484</v>
      </c>
      <c r="AU80" s="231" t="s">
        <v>1706</v>
      </c>
    </row>
    <row r="81" spans="1:47" x14ac:dyDescent="0.3">
      <c r="A81" s="231" t="s">
        <v>485</v>
      </c>
      <c r="AU81" s="231" t="s">
        <v>1707</v>
      </c>
    </row>
    <row r="82" spans="1:47" x14ac:dyDescent="0.3">
      <c r="A82" s="231" t="s">
        <v>486</v>
      </c>
    </row>
    <row r="83" spans="1:47" x14ac:dyDescent="0.3">
      <c r="A83" s="231" t="s">
        <v>463</v>
      </c>
    </row>
    <row r="84" spans="1:47" x14ac:dyDescent="0.3">
      <c r="A84" s="231" t="s">
        <v>85</v>
      </c>
      <c r="AQ84" s="231" t="s">
        <v>1948</v>
      </c>
      <c r="AU84" s="231" t="s">
        <v>1952</v>
      </c>
    </row>
    <row r="85" spans="1:47" x14ac:dyDescent="0.3">
      <c r="AU85" s="231" t="s">
        <v>1949</v>
      </c>
    </row>
    <row r="86" spans="1:47" x14ac:dyDescent="0.3">
      <c r="A86" s="231" t="s">
        <v>1578</v>
      </c>
      <c r="W86" s="231" t="s">
        <v>467</v>
      </c>
      <c r="AU86" s="231" t="s">
        <v>1950</v>
      </c>
    </row>
    <row r="87" spans="1:47" x14ac:dyDescent="0.3">
      <c r="A87" s="231" t="s">
        <v>476</v>
      </c>
      <c r="AU87" s="231" t="s">
        <v>1951</v>
      </c>
    </row>
    <row r="88" spans="1:47" x14ac:dyDescent="0.3">
      <c r="A88" s="231" t="s">
        <v>477</v>
      </c>
    </row>
    <row r="89" spans="1:47" x14ac:dyDescent="0.3">
      <c r="A89" s="231" t="s">
        <v>478</v>
      </c>
    </row>
    <row r="90" spans="1:47" x14ac:dyDescent="0.3">
      <c r="A90" s="231" t="s">
        <v>468</v>
      </c>
    </row>
    <row r="91" spans="1:47" x14ac:dyDescent="0.3">
      <c r="A91" s="231" t="s">
        <v>479</v>
      </c>
    </row>
    <row r="92" spans="1:47" x14ac:dyDescent="0.3">
      <c r="A92" s="231" t="s">
        <v>469</v>
      </c>
    </row>
    <row r="94" spans="1:47" x14ac:dyDescent="0.3">
      <c r="A94" s="231" t="s">
        <v>97</v>
      </c>
      <c r="W94" s="231" t="s">
        <v>697</v>
      </c>
    </row>
    <row r="95" spans="1:47" x14ac:dyDescent="0.3">
      <c r="A95" s="231" t="s">
        <v>98</v>
      </c>
    </row>
    <row r="96" spans="1:47" x14ac:dyDescent="0.3">
      <c r="A96" s="231" t="s">
        <v>99</v>
      </c>
    </row>
    <row r="97" spans="1:23" x14ac:dyDescent="0.3">
      <c r="A97" s="231" t="s">
        <v>100</v>
      </c>
    </row>
    <row r="98" spans="1:23" x14ac:dyDescent="0.3">
      <c r="A98" s="231" t="s">
        <v>101</v>
      </c>
    </row>
    <row r="99" spans="1:23" x14ac:dyDescent="0.3">
      <c r="A99" s="231" t="s">
        <v>102</v>
      </c>
    </row>
    <row r="100" spans="1:23" x14ac:dyDescent="0.3">
      <c r="A100" s="231" t="s">
        <v>119</v>
      </c>
    </row>
    <row r="101" spans="1:23" x14ac:dyDescent="0.3">
      <c r="A101" s="231" t="s">
        <v>103</v>
      </c>
      <c r="W101" s="231" t="s">
        <v>108</v>
      </c>
    </row>
    <row r="102" spans="1:23" x14ac:dyDescent="0.3">
      <c r="A102" s="231" t="s">
        <v>104</v>
      </c>
    </row>
    <row r="103" spans="1:23" x14ac:dyDescent="0.3">
      <c r="A103" s="231" t="s">
        <v>105</v>
      </c>
    </row>
    <row r="104" spans="1:23" x14ac:dyDescent="0.3">
      <c r="A104" s="231" t="s">
        <v>106</v>
      </c>
    </row>
    <row r="105" spans="1:23" x14ac:dyDescent="0.3">
      <c r="A105" s="231" t="s">
        <v>107</v>
      </c>
    </row>
    <row r="107" spans="1:23" x14ac:dyDescent="0.3">
      <c r="A107" s="231" t="s">
        <v>109</v>
      </c>
      <c r="W107" s="231" t="s">
        <v>115</v>
      </c>
    </row>
    <row r="108" spans="1:23" x14ac:dyDescent="0.3">
      <c r="A108" s="231" t="s">
        <v>110</v>
      </c>
    </row>
    <row r="109" spans="1:23" x14ac:dyDescent="0.3">
      <c r="A109" s="231" t="s">
        <v>111</v>
      </c>
    </row>
    <row r="110" spans="1:23" x14ac:dyDescent="0.3">
      <c r="A110" s="231" t="s">
        <v>112</v>
      </c>
    </row>
    <row r="111" spans="1:23" x14ac:dyDescent="0.3">
      <c r="A111" s="231" t="s">
        <v>113</v>
      </c>
    </row>
    <row r="112" spans="1:23" x14ac:dyDescent="0.3">
      <c r="A112" s="231" t="s">
        <v>114</v>
      </c>
    </row>
    <row r="114" spans="1:23" x14ac:dyDescent="0.3">
      <c r="A114" s="231" t="s">
        <v>120</v>
      </c>
      <c r="W114" s="231" t="s">
        <v>131</v>
      </c>
    </row>
    <row r="115" spans="1:23" x14ac:dyDescent="0.3">
      <c r="A115" s="231" t="s">
        <v>130</v>
      </c>
    </row>
    <row r="116" spans="1:23" x14ac:dyDescent="0.3">
      <c r="A116" s="231" t="s">
        <v>129</v>
      </c>
    </row>
    <row r="117" spans="1:23" x14ac:dyDescent="0.3">
      <c r="A117" s="231" t="s">
        <v>121</v>
      </c>
    </row>
    <row r="118" spans="1:23" x14ac:dyDescent="0.3">
      <c r="A118" s="231" t="s">
        <v>407</v>
      </c>
      <c r="W118" s="231" t="s">
        <v>406</v>
      </c>
    </row>
    <row r="119" spans="1:23" x14ac:dyDescent="0.3">
      <c r="A119" s="231" t="s">
        <v>122</v>
      </c>
    </row>
    <row r="120" spans="1:23" x14ac:dyDescent="0.3">
      <c r="A120" s="231" t="s">
        <v>123</v>
      </c>
    </row>
    <row r="121" spans="1:23" x14ac:dyDescent="0.3">
      <c r="A121" s="231" t="s">
        <v>124</v>
      </c>
    </row>
    <row r="122" spans="1:23" x14ac:dyDescent="0.3">
      <c r="A122" s="231" t="s">
        <v>125</v>
      </c>
    </row>
    <row r="123" spans="1:23" x14ac:dyDescent="0.3">
      <c r="A123" s="231" t="s">
        <v>126</v>
      </c>
    </row>
    <row r="124" spans="1:23" x14ac:dyDescent="0.3">
      <c r="A124" s="231" t="s">
        <v>127</v>
      </c>
    </row>
    <row r="125" spans="1:23" x14ac:dyDescent="0.3">
      <c r="A125" s="231" t="s">
        <v>132</v>
      </c>
    </row>
    <row r="126" spans="1:23" x14ac:dyDescent="0.3">
      <c r="A126" s="231" t="s">
        <v>128</v>
      </c>
    </row>
    <row r="127" spans="1:23" x14ac:dyDescent="0.3">
      <c r="A127" s="231" t="s">
        <v>408</v>
      </c>
      <c r="W127" s="231" t="s">
        <v>409</v>
      </c>
    </row>
    <row r="128" spans="1:23" x14ac:dyDescent="0.3">
      <c r="A128" s="231" t="s">
        <v>133</v>
      </c>
    </row>
    <row r="129" spans="1:23" x14ac:dyDescent="0.3">
      <c r="A129" s="231" t="s">
        <v>134</v>
      </c>
    </row>
    <row r="130" spans="1:23" x14ac:dyDescent="0.3">
      <c r="A130" s="231" t="s">
        <v>135</v>
      </c>
    </row>
    <row r="131" spans="1:23" x14ac:dyDescent="0.3">
      <c r="A131" s="231" t="s">
        <v>136</v>
      </c>
    </row>
    <row r="133" spans="1:23" x14ac:dyDescent="0.3">
      <c r="A133" s="231" t="s">
        <v>116</v>
      </c>
      <c r="W133" s="231" t="s">
        <v>138</v>
      </c>
    </row>
    <row r="134" spans="1:23" x14ac:dyDescent="0.3">
      <c r="A134" s="231" t="s">
        <v>117</v>
      </c>
    </row>
    <row r="135" spans="1:23" x14ac:dyDescent="0.3">
      <c r="A135" s="231" t="s">
        <v>118</v>
      </c>
    </row>
    <row r="136" spans="1:23" x14ac:dyDescent="0.3">
      <c r="A136" s="231" t="s">
        <v>137</v>
      </c>
    </row>
    <row r="138" spans="1:23" x14ac:dyDescent="0.3">
      <c r="A138" s="231" t="s">
        <v>490</v>
      </c>
      <c r="W138" s="231" t="s">
        <v>617</v>
      </c>
    </row>
    <row r="139" spans="1:23" x14ac:dyDescent="0.3">
      <c r="A139" s="231" t="s">
        <v>139</v>
      </c>
    </row>
    <row r="140" spans="1:23" x14ac:dyDescent="0.3">
      <c r="A140" s="231" t="s">
        <v>615</v>
      </c>
    </row>
    <row r="141" spans="1:23" x14ac:dyDescent="0.3">
      <c r="A141" s="231" t="s">
        <v>616</v>
      </c>
    </row>
    <row r="142" spans="1:23" x14ac:dyDescent="0.3">
      <c r="A142" s="231" t="s">
        <v>491</v>
      </c>
      <c r="W142" s="231" t="s">
        <v>618</v>
      </c>
    </row>
    <row r="143" spans="1:23" x14ac:dyDescent="0.3">
      <c r="A143" s="231" t="s">
        <v>140</v>
      </c>
    </row>
    <row r="144" spans="1:23" x14ac:dyDescent="0.3">
      <c r="A144" s="231" t="s">
        <v>613</v>
      </c>
    </row>
    <row r="145" spans="1:45" x14ac:dyDescent="0.3">
      <c r="A145" s="231" t="s">
        <v>614</v>
      </c>
    </row>
    <row r="146" spans="1:45" x14ac:dyDescent="0.3">
      <c r="A146" s="231" t="s">
        <v>410</v>
      </c>
      <c r="W146" s="231" t="s">
        <v>415</v>
      </c>
    </row>
    <row r="147" spans="1:45" x14ac:dyDescent="0.3">
      <c r="A147" s="231" t="s">
        <v>411</v>
      </c>
    </row>
    <row r="148" spans="1:45" x14ac:dyDescent="0.3">
      <c r="A148" s="231" t="s">
        <v>412</v>
      </c>
    </row>
    <row r="149" spans="1:45" x14ac:dyDescent="0.3">
      <c r="A149" s="231" t="s">
        <v>413</v>
      </c>
    </row>
    <row r="150" spans="1:45" x14ac:dyDescent="0.3">
      <c r="A150" s="231" t="s">
        <v>414</v>
      </c>
    </row>
    <row r="151" spans="1:45" x14ac:dyDescent="0.3">
      <c r="A151" s="231" t="s">
        <v>399</v>
      </c>
      <c r="W151" s="231" t="s">
        <v>400</v>
      </c>
      <c r="AD151" s="231" t="s">
        <v>399</v>
      </c>
    </row>
    <row r="152" spans="1:45" x14ac:dyDescent="0.3">
      <c r="A152" s="231" t="s">
        <v>141</v>
      </c>
    </row>
    <row r="153" spans="1:45" x14ac:dyDescent="0.3">
      <c r="A153" s="231" t="s">
        <v>142</v>
      </c>
      <c r="AD153" s="231" t="s">
        <v>141</v>
      </c>
    </row>
    <row r="154" spans="1:45" x14ac:dyDescent="0.3">
      <c r="A154" s="231" t="s">
        <v>398</v>
      </c>
      <c r="AD154" s="231" t="s">
        <v>422</v>
      </c>
    </row>
    <row r="155" spans="1:45" x14ac:dyDescent="0.3">
      <c r="A155" s="231" t="s">
        <v>145</v>
      </c>
      <c r="W155" s="231" t="s">
        <v>148</v>
      </c>
      <c r="AD155" s="231" t="s">
        <v>398</v>
      </c>
      <c r="AO155" s="231" t="s">
        <v>401</v>
      </c>
      <c r="AS155" s="231" t="s">
        <v>402</v>
      </c>
    </row>
    <row r="156" spans="1:45" x14ac:dyDescent="0.3">
      <c r="A156" s="231" t="s">
        <v>143</v>
      </c>
    </row>
    <row r="157" spans="1:45" x14ac:dyDescent="0.3">
      <c r="A157" s="231" t="s">
        <v>144</v>
      </c>
      <c r="AS157" s="231" t="s">
        <v>403</v>
      </c>
    </row>
    <row r="158" spans="1:45" x14ac:dyDescent="0.3">
      <c r="AS158" s="231" t="s">
        <v>1579</v>
      </c>
    </row>
    <row r="159" spans="1:45" x14ac:dyDescent="0.3">
      <c r="A159" s="231" t="s">
        <v>146</v>
      </c>
      <c r="W159" s="231" t="s">
        <v>149</v>
      </c>
    </row>
    <row r="160" spans="1:45" x14ac:dyDescent="0.3">
      <c r="A160" s="231" t="s">
        <v>147</v>
      </c>
    </row>
    <row r="161" spans="1:45" x14ac:dyDescent="0.3">
      <c r="AO161" s="231" t="s">
        <v>404</v>
      </c>
      <c r="AS161" s="231" t="s">
        <v>151</v>
      </c>
    </row>
    <row r="162" spans="1:45" x14ac:dyDescent="0.3">
      <c r="A162" s="231" t="s">
        <v>416</v>
      </c>
      <c r="W162" s="231" t="s">
        <v>150</v>
      </c>
    </row>
    <row r="163" spans="1:45" x14ac:dyDescent="0.3">
      <c r="A163" s="231" t="s">
        <v>417</v>
      </c>
      <c r="W163" s="231" t="s">
        <v>698</v>
      </c>
      <c r="AS163" s="231" t="s">
        <v>433</v>
      </c>
    </row>
    <row r="164" spans="1:45" x14ac:dyDescent="0.3">
      <c r="A164" s="231" t="s">
        <v>418</v>
      </c>
      <c r="AS164" s="231" t="s">
        <v>430</v>
      </c>
    </row>
    <row r="165" spans="1:45" x14ac:dyDescent="0.3">
      <c r="A165" s="231" t="s">
        <v>419</v>
      </c>
      <c r="AS165" s="231" t="s">
        <v>431</v>
      </c>
    </row>
    <row r="166" spans="1:45" x14ac:dyDescent="0.3">
      <c r="A166" s="231" t="s">
        <v>420</v>
      </c>
      <c r="AS166" s="231" t="s">
        <v>432</v>
      </c>
    </row>
    <row r="167" spans="1:45" x14ac:dyDescent="0.3">
      <c r="A167" s="231" t="s">
        <v>421</v>
      </c>
      <c r="AS167" s="231" t="s">
        <v>420</v>
      </c>
    </row>
    <row r="168" spans="1:45" x14ac:dyDescent="0.3">
      <c r="A168" s="231" t="s">
        <v>475</v>
      </c>
      <c r="W168" s="231" t="s">
        <v>696</v>
      </c>
      <c r="AS168" s="231" t="s">
        <v>421</v>
      </c>
    </row>
    <row r="169" spans="1:45" x14ac:dyDescent="0.3">
      <c r="A169" s="231" t="s">
        <v>470</v>
      </c>
      <c r="Y169" s="231" t="s">
        <v>405</v>
      </c>
    </row>
    <row r="170" spans="1:45" x14ac:dyDescent="0.3">
      <c r="A170" s="231" t="s">
        <v>471</v>
      </c>
    </row>
    <row r="171" spans="1:45" x14ac:dyDescent="0.3">
      <c r="A171" s="231" t="s">
        <v>472</v>
      </c>
      <c r="AQ171" s="231" t="s">
        <v>439</v>
      </c>
    </row>
    <row r="172" spans="1:45" x14ac:dyDescent="0.3">
      <c r="A172" s="231" t="s">
        <v>473</v>
      </c>
      <c r="AQ172" s="231" t="s">
        <v>440</v>
      </c>
    </row>
    <row r="173" spans="1:45" x14ac:dyDescent="0.3">
      <c r="A173" s="231" t="s">
        <v>474</v>
      </c>
      <c r="AQ173" s="231" t="s">
        <v>438</v>
      </c>
    </row>
    <row r="174" spans="1:45" x14ac:dyDescent="0.3">
      <c r="AQ174" s="231" t="s">
        <v>434</v>
      </c>
    </row>
    <row r="175" spans="1:45" x14ac:dyDescent="0.3">
      <c r="A175" s="231" t="s">
        <v>619</v>
      </c>
      <c r="W175" s="231" t="s">
        <v>396</v>
      </c>
      <c r="AQ175" s="231" t="s">
        <v>435</v>
      </c>
    </row>
    <row r="176" spans="1:45" x14ac:dyDescent="0.3">
      <c r="A176" s="231" t="s">
        <v>620</v>
      </c>
      <c r="AQ176" s="231" t="s">
        <v>436</v>
      </c>
    </row>
    <row r="177" spans="1:43" x14ac:dyDescent="0.3">
      <c r="A177" s="231" t="s">
        <v>621</v>
      </c>
      <c r="AQ177" s="231" t="s">
        <v>437</v>
      </c>
    </row>
    <row r="178" spans="1:43" x14ac:dyDescent="0.3">
      <c r="A178" s="231" t="s">
        <v>622</v>
      </c>
      <c r="AQ178" s="231" t="s">
        <v>398</v>
      </c>
    </row>
    <row r="179" spans="1:43" x14ac:dyDescent="0.3">
      <c r="A179" s="231" t="s">
        <v>397</v>
      </c>
    </row>
    <row r="180" spans="1:43" x14ac:dyDescent="0.3">
      <c r="A180" s="231" t="s">
        <v>143</v>
      </c>
      <c r="W180" s="231" t="s">
        <v>681</v>
      </c>
    </row>
    <row r="181" spans="1:43" x14ac:dyDescent="0.3">
      <c r="A181" s="231" t="s">
        <v>144</v>
      </c>
    </row>
    <row r="182" spans="1:43" x14ac:dyDescent="0.3">
      <c r="A182" s="231" t="s">
        <v>427</v>
      </c>
      <c r="W182" s="231" t="s">
        <v>428</v>
      </c>
      <c r="AC182" s="231" t="s">
        <v>429</v>
      </c>
    </row>
    <row r="183" spans="1:43" x14ac:dyDescent="0.3">
      <c r="A183" s="231" t="s">
        <v>423</v>
      </c>
      <c r="AC183" s="231" t="s">
        <v>423</v>
      </c>
    </row>
    <row r="184" spans="1:43" x14ac:dyDescent="0.3">
      <c r="A184" s="231" t="s">
        <v>424</v>
      </c>
      <c r="AC184" s="231" t="s">
        <v>424</v>
      </c>
    </row>
    <row r="185" spans="1:43" x14ac:dyDescent="0.3">
      <c r="A185" s="231" t="s">
        <v>425</v>
      </c>
      <c r="AC185" s="231" t="s">
        <v>425</v>
      </c>
    </row>
    <row r="186" spans="1:43" x14ac:dyDescent="0.3">
      <c r="A186" s="231" t="s">
        <v>426</v>
      </c>
      <c r="AC186" s="231" t="s">
        <v>426</v>
      </c>
    </row>
    <row r="188" spans="1:43" x14ac:dyDescent="0.3">
      <c r="A188" s="231" t="s">
        <v>684</v>
      </c>
      <c r="W188" s="231" t="s">
        <v>686</v>
      </c>
    </row>
    <row r="189" spans="1:43" x14ac:dyDescent="0.3">
      <c r="A189" s="231" t="s">
        <v>685</v>
      </c>
    </row>
    <row r="191" spans="1:43" x14ac:dyDescent="0.3">
      <c r="A191" s="231" t="s">
        <v>682</v>
      </c>
      <c r="W191" s="231" t="s">
        <v>687</v>
      </c>
    </row>
    <row r="192" spans="1:43" x14ac:dyDescent="0.3">
      <c r="A192" s="231" t="s">
        <v>688</v>
      </c>
    </row>
    <row r="193" spans="1:15" x14ac:dyDescent="0.3">
      <c r="A193" s="231" t="s">
        <v>683</v>
      </c>
    </row>
    <row r="196" spans="1:15" x14ac:dyDescent="0.3">
      <c r="A196" s="231" t="s">
        <v>569</v>
      </c>
      <c r="O196" s="231">
        <v>0</v>
      </c>
    </row>
    <row r="197" spans="1:15" x14ac:dyDescent="0.3">
      <c r="A197" s="231" t="s">
        <v>570</v>
      </c>
      <c r="O197" s="231" t="s">
        <v>962</v>
      </c>
    </row>
    <row r="198" spans="1:15" x14ac:dyDescent="0.3">
      <c r="A198" s="231" t="s">
        <v>571</v>
      </c>
      <c r="O198" s="231" t="s">
        <v>990</v>
      </c>
    </row>
    <row r="199" spans="1:15" x14ac:dyDescent="0.3">
      <c r="A199" s="231" t="s">
        <v>572</v>
      </c>
      <c r="O199" s="231" t="s">
        <v>991</v>
      </c>
    </row>
    <row r="200" spans="1:15" x14ac:dyDescent="0.3">
      <c r="A200" s="231" t="s">
        <v>568</v>
      </c>
    </row>
    <row r="201" spans="1:15" x14ac:dyDescent="0.3">
      <c r="A201" s="256" t="s">
        <v>988</v>
      </c>
    </row>
    <row r="202" spans="1:15" x14ac:dyDescent="0.3">
      <c r="A202" s="256" t="s">
        <v>989</v>
      </c>
      <c r="G202" s="231" t="s">
        <v>1362</v>
      </c>
    </row>
    <row r="203" spans="1:15" x14ac:dyDescent="0.3">
      <c r="A203" s="256" t="s">
        <v>946</v>
      </c>
      <c r="G203" s="231" t="str">
        <f>CONCATENATE("1) ",G202," 
2) ",G204)</f>
        <v>1) Note name of fire department, whether paid or volunteer, protection class (if available), distance to station, distance to hydrants (if any), main size if available. 
2) Briefly describe water supply (source, number and size of reservoirs), water system (piping size, grid or dead-end, number of hydrants), fire equipment (number and class of fire engine, if any), number and training of private fire responders.</v>
      </c>
    </row>
    <row r="204" spans="1:15" x14ac:dyDescent="0.3">
      <c r="A204" s="256" t="s">
        <v>947</v>
      </c>
      <c r="G204" s="231" t="s">
        <v>1363</v>
      </c>
    </row>
    <row r="207" spans="1:15" x14ac:dyDescent="0.3">
      <c r="A207" s="264" t="s">
        <v>1568</v>
      </c>
    </row>
    <row r="208" spans="1:15" x14ac:dyDescent="0.3">
      <c r="A208" s="264" t="s">
        <v>1343</v>
      </c>
    </row>
    <row r="209" spans="1:1" x14ac:dyDescent="0.3">
      <c r="A209" s="264" t="s">
        <v>1342</v>
      </c>
    </row>
    <row r="210" spans="1:1" x14ac:dyDescent="0.3">
      <c r="A210" s="350" t="s">
        <v>1312</v>
      </c>
    </row>
    <row r="211" spans="1:1" x14ac:dyDescent="0.3">
      <c r="A211" s="350" t="s">
        <v>1601</v>
      </c>
    </row>
    <row r="212" spans="1:1" x14ac:dyDescent="0.3">
      <c r="A212" s="350" t="s">
        <v>1313</v>
      </c>
    </row>
    <row r="213" spans="1:1" x14ac:dyDescent="0.3">
      <c r="A213" s="264" t="s">
        <v>1676</v>
      </c>
    </row>
    <row r="214" spans="1:1" x14ac:dyDescent="0.3">
      <c r="A214" s="350" t="s">
        <v>1585</v>
      </c>
    </row>
    <row r="215" spans="1:1" x14ac:dyDescent="0.3">
      <c r="A215" s="350" t="s">
        <v>1589</v>
      </c>
    </row>
    <row r="216" spans="1:1" x14ac:dyDescent="0.3">
      <c r="A216" s="264" t="s">
        <v>1311</v>
      </c>
    </row>
    <row r="217" spans="1:1" x14ac:dyDescent="0.3">
      <c r="A217" s="264" t="s">
        <v>1314</v>
      </c>
    </row>
    <row r="218" spans="1:1" s="354" customFormat="1" x14ac:dyDescent="0.3">
      <c r="A218" s="350" t="s">
        <v>1328</v>
      </c>
    </row>
    <row r="219" spans="1:1" x14ac:dyDescent="0.3">
      <c r="A219" s="264" t="s">
        <v>1329</v>
      </c>
    </row>
    <row r="220" spans="1:1" x14ac:dyDescent="0.3">
      <c r="A220" s="264" t="s">
        <v>1330</v>
      </c>
    </row>
    <row r="221" spans="1:1" x14ac:dyDescent="0.3">
      <c r="A221" s="264" t="s">
        <v>1331</v>
      </c>
    </row>
    <row r="222" spans="1:1" x14ac:dyDescent="0.3">
      <c r="A222" s="264" t="s">
        <v>1332</v>
      </c>
    </row>
    <row r="223" spans="1:1" x14ac:dyDescent="0.3">
      <c r="A223" s="264" t="s">
        <v>1333</v>
      </c>
    </row>
    <row r="224" spans="1:1" x14ac:dyDescent="0.3">
      <c r="A224" s="264" t="s">
        <v>1334</v>
      </c>
    </row>
    <row r="225" spans="1:1" x14ac:dyDescent="0.3">
      <c r="A225" s="264" t="s">
        <v>1817</v>
      </c>
    </row>
    <row r="226" spans="1:1" x14ac:dyDescent="0.3">
      <c r="A226" s="264" t="s">
        <v>1335</v>
      </c>
    </row>
    <row r="227" spans="1:1" x14ac:dyDescent="0.3">
      <c r="A227" s="264" t="s">
        <v>1818</v>
      </c>
    </row>
    <row r="228" spans="1:1" x14ac:dyDescent="0.3">
      <c r="A228" s="350" t="s">
        <v>1336</v>
      </c>
    </row>
    <row r="229" spans="1:1" x14ac:dyDescent="0.3">
      <c r="A229" s="350" t="s">
        <v>1337</v>
      </c>
    </row>
    <row r="230" spans="1:1" x14ac:dyDescent="0.3">
      <c r="A230" s="350" t="s">
        <v>1338</v>
      </c>
    </row>
    <row r="231" spans="1:1" x14ac:dyDescent="0.3">
      <c r="A231" s="350" t="s">
        <v>1339</v>
      </c>
    </row>
    <row r="232" spans="1:1" x14ac:dyDescent="0.3">
      <c r="A232" s="264" t="s">
        <v>1340</v>
      </c>
    </row>
    <row r="233" spans="1:1" x14ac:dyDescent="0.3">
      <c r="A233" s="264" t="s">
        <v>1532</v>
      </c>
    </row>
    <row r="234" spans="1:1" x14ac:dyDescent="0.3">
      <c r="A234" s="264" t="s">
        <v>1533</v>
      </c>
    </row>
    <row r="235" spans="1:1" x14ac:dyDescent="0.3">
      <c r="A235" s="264" t="s">
        <v>1534</v>
      </c>
    </row>
    <row r="236" spans="1:1" x14ac:dyDescent="0.3">
      <c r="A236" s="350" t="s">
        <v>1753</v>
      </c>
    </row>
    <row r="237" spans="1:1" x14ac:dyDescent="0.3">
      <c r="A237" s="350" t="s">
        <v>1754</v>
      </c>
    </row>
    <row r="238" spans="1:1" x14ac:dyDescent="0.3">
      <c r="A238" s="350" t="s">
        <v>1752</v>
      </c>
    </row>
    <row r="239" spans="1:1" x14ac:dyDescent="0.3">
      <c r="A239" s="354" t="s">
        <v>1799</v>
      </c>
    </row>
    <row r="240" spans="1:1" x14ac:dyDescent="0.3">
      <c r="A240" s="354" t="s">
        <v>1967</v>
      </c>
    </row>
    <row r="241" spans="1:1" x14ac:dyDescent="0.3">
      <c r="A241" s="366" t="s">
        <v>1976</v>
      </c>
    </row>
    <row r="242" spans="1:1" x14ac:dyDescent="0.3">
      <c r="A242" s="366" t="s">
        <v>1977</v>
      </c>
    </row>
    <row r="243" spans="1:1" x14ac:dyDescent="0.3">
      <c r="A243" s="354" t="s">
        <v>1159</v>
      </c>
    </row>
    <row r="244" spans="1:1" x14ac:dyDescent="0.3">
      <c r="A244" s="354" t="s">
        <v>1978</v>
      </c>
    </row>
    <row r="245" spans="1:1" x14ac:dyDescent="0.3">
      <c r="A245" s="256" t="s">
        <v>1165</v>
      </c>
    </row>
    <row r="246" spans="1:1" x14ac:dyDescent="0.3">
      <c r="A246" s="256" t="s">
        <v>1980</v>
      </c>
    </row>
    <row r="247" spans="1:1" x14ac:dyDescent="0.3">
      <c r="A247" s="366" t="s">
        <v>1982</v>
      </c>
    </row>
    <row r="248" spans="1:1" x14ac:dyDescent="0.3">
      <c r="A248" s="366" t="s">
        <v>1981</v>
      </c>
    </row>
    <row r="249" spans="1:1" x14ac:dyDescent="0.3">
      <c r="A249" s="366" t="s">
        <v>1331</v>
      </c>
    </row>
    <row r="250" spans="1:1" x14ac:dyDescent="0.3">
      <c r="A250" s="366" t="s">
        <v>1985</v>
      </c>
    </row>
    <row r="251" spans="1:1" x14ac:dyDescent="0.3">
      <c r="A251" s="366" t="s">
        <v>1988</v>
      </c>
    </row>
    <row r="252" spans="1:1" x14ac:dyDescent="0.3">
      <c r="A252" s="366" t="s">
        <v>1987</v>
      </c>
    </row>
    <row r="253" spans="1:1" x14ac:dyDescent="0.3">
      <c r="A253" s="366" t="s">
        <v>1994</v>
      </c>
    </row>
    <row r="254" spans="1:1" x14ac:dyDescent="0.3">
      <c r="A254" s="366" t="s">
        <v>1993</v>
      </c>
    </row>
    <row r="255" spans="1:1" x14ac:dyDescent="0.3">
      <c r="A255" s="366" t="s">
        <v>1996</v>
      </c>
    </row>
    <row r="256" spans="1:1" x14ac:dyDescent="0.3">
      <c r="A256" s="366" t="s">
        <v>1995</v>
      </c>
    </row>
    <row r="257" spans="1:1" x14ac:dyDescent="0.3">
      <c r="A257" s="366" t="s">
        <v>2000</v>
      </c>
    </row>
    <row r="258" spans="1:1" x14ac:dyDescent="0.3">
      <c r="A258" s="366" t="s">
        <v>2001</v>
      </c>
    </row>
    <row r="259" spans="1:1" x14ac:dyDescent="0.3">
      <c r="A259" s="366" t="s">
        <v>9149</v>
      </c>
    </row>
    <row r="260" spans="1:1" x14ac:dyDescent="0.3">
      <c r="A260" s="366" t="s">
        <v>9150</v>
      </c>
    </row>
    <row r="261" spans="1:1" x14ac:dyDescent="0.3">
      <c r="A261" s="366" t="s">
        <v>9151</v>
      </c>
    </row>
    <row r="262" spans="1:1" x14ac:dyDescent="0.3">
      <c r="A262" s="366" t="s">
        <v>9152</v>
      </c>
    </row>
    <row r="263" spans="1:1" x14ac:dyDescent="0.3">
      <c r="A263" s="366" t="s">
        <v>9153</v>
      </c>
    </row>
    <row r="264" spans="1:1" x14ac:dyDescent="0.3">
      <c r="A264" s="366" t="s">
        <v>9154</v>
      </c>
    </row>
    <row r="265" spans="1:1" x14ac:dyDescent="0.3">
      <c r="A265" s="366" t="s">
        <v>9155</v>
      </c>
    </row>
    <row r="266" spans="1:1" x14ac:dyDescent="0.3">
      <c r="A266" s="366" t="s">
        <v>9156</v>
      </c>
    </row>
    <row r="267" spans="1:1" x14ac:dyDescent="0.3">
      <c r="A267" s="366" t="s">
        <v>9157</v>
      </c>
    </row>
    <row r="268" spans="1:1" x14ac:dyDescent="0.3">
      <c r="A268" s="366"/>
    </row>
    <row r="269" spans="1:1" x14ac:dyDescent="0.3">
      <c r="A269" s="354" t="s">
        <v>2004</v>
      </c>
    </row>
    <row r="270" spans="1:1" x14ac:dyDescent="0.3">
      <c r="A270" s="366" t="s">
        <v>2005</v>
      </c>
    </row>
    <row r="271" spans="1:1" x14ac:dyDescent="0.3">
      <c r="A271" s="354" t="s">
        <v>2006</v>
      </c>
    </row>
    <row r="272" spans="1:1" x14ac:dyDescent="0.3">
      <c r="A272" s="354" t="s">
        <v>2007</v>
      </c>
    </row>
    <row r="273" spans="1:1" x14ac:dyDescent="0.3">
      <c r="A273" s="354" t="s">
        <v>2008</v>
      </c>
    </row>
    <row r="274" spans="1:1" x14ac:dyDescent="0.3">
      <c r="A274" s="366" t="s">
        <v>2009</v>
      </c>
    </row>
    <row r="275" spans="1:1" x14ac:dyDescent="0.3">
      <c r="A275" s="354" t="s">
        <v>2011</v>
      </c>
    </row>
    <row r="276" spans="1:1" x14ac:dyDescent="0.3">
      <c r="A276" s="354" t="s">
        <v>2010</v>
      </c>
    </row>
    <row r="285" spans="1:1" x14ac:dyDescent="0.3">
      <c r="A285" s="355" t="s">
        <v>2012</v>
      </c>
    </row>
    <row r="286" spans="1:1" x14ac:dyDescent="0.3">
      <c r="A286" s="231" t="s">
        <v>2013</v>
      </c>
    </row>
    <row r="287" spans="1:1" x14ac:dyDescent="0.3">
      <c r="A287" s="231" t="s">
        <v>2014</v>
      </c>
    </row>
    <row r="298" spans="1:1" x14ac:dyDescent="0.3">
      <c r="A298" s="355"/>
    </row>
    <row r="307" spans="1:1" x14ac:dyDescent="0.3">
      <c r="A307" s="355"/>
    </row>
    <row r="310" spans="1:1" x14ac:dyDescent="0.3">
      <c r="A310" s="355"/>
    </row>
    <row r="311" spans="1:1" x14ac:dyDescent="0.3">
      <c r="A311" s="380"/>
    </row>
  </sheetData>
  <phoneticPr fontId="2" type="noConversion"/>
  <dataValidations count="1">
    <dataValidation type="list" allowBlank="1" showInputMessage="1" showErrorMessage="1" sqref="D30">
      <formula1>list3</formula1>
    </dataValidation>
  </dataValidations>
  <pageMargins left="0.75" right="0.75" top="1" bottom="1" header="0.5" footer="0.5"/>
  <pageSetup orientation="portrait" horizontalDpi="4294967293" verticalDpi="0"/>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159</vt:i4>
      </vt:variant>
    </vt:vector>
  </HeadingPairs>
  <TitlesOfParts>
    <vt:vector size="169" baseType="lpstr">
      <vt:lpstr>START</vt:lpstr>
      <vt:lpstr>ARA</vt:lpstr>
      <vt:lpstr>Camping</vt:lpstr>
      <vt:lpstr>WC</vt:lpstr>
      <vt:lpstr>SocialPrograms</vt:lpstr>
      <vt:lpstr>recommendations</vt:lpstr>
      <vt:lpstr>Rec</vt:lpstr>
      <vt:lpstr>calculations</vt:lpstr>
      <vt:lpstr>forms</vt:lpstr>
      <vt:lpstr>CList</vt:lpstr>
      <vt:lpstr>ABUSEPREVENT</vt:lpstr>
      <vt:lpstr>abuseprevention</vt:lpstr>
      <vt:lpstr>aquatics</vt:lpstr>
      <vt:lpstr>AquaticSafety</vt:lpstr>
      <vt:lpstr>CAMPAQUATIC</vt:lpstr>
      <vt:lpstr>CAMPCOLLABORATIONS</vt:lpstr>
      <vt:lpstr>CampFacility</vt:lpstr>
      <vt:lpstr>camping1</vt:lpstr>
      <vt:lpstr>camping2</vt:lpstr>
      <vt:lpstr>CampOperations</vt:lpstr>
      <vt:lpstr>CAMPOTHER</vt:lpstr>
      <vt:lpstr>CampOtherPrograms</vt:lpstr>
      <vt:lpstr>CAMPTRANSPORT</vt:lpstr>
      <vt:lpstr>collaborations</vt:lpstr>
      <vt:lpstr>entrydevice</vt:lpstr>
      <vt:lpstr>facility</vt:lpstr>
      <vt:lpstr>FACILITYLIST</vt:lpstr>
      <vt:lpstr>Camping!list1</vt:lpstr>
      <vt:lpstr>list1</vt:lpstr>
      <vt:lpstr>list10</vt:lpstr>
      <vt:lpstr>list100</vt:lpstr>
      <vt:lpstr>list10a</vt:lpstr>
      <vt:lpstr>list10b</vt:lpstr>
      <vt:lpstr>Camping!list10c</vt:lpstr>
      <vt:lpstr>list10c</vt:lpstr>
      <vt:lpstr>Camping!list11</vt:lpstr>
      <vt:lpstr>list11</vt:lpstr>
      <vt:lpstr>list12</vt:lpstr>
      <vt:lpstr>list12a</vt:lpstr>
      <vt:lpstr>Camping!list12b</vt:lpstr>
      <vt:lpstr>list12b</vt:lpstr>
      <vt:lpstr>list13</vt:lpstr>
      <vt:lpstr>Camping!list13a</vt:lpstr>
      <vt:lpstr>list13a</vt:lpstr>
      <vt:lpstr>list14</vt:lpstr>
      <vt:lpstr>Camping!list14a</vt:lpstr>
      <vt:lpstr>list14a</vt:lpstr>
      <vt:lpstr>list15</vt:lpstr>
      <vt:lpstr>Camping!list15a</vt:lpstr>
      <vt:lpstr>list15a</vt:lpstr>
      <vt:lpstr>list16</vt:lpstr>
      <vt:lpstr>Camping!list17</vt:lpstr>
      <vt:lpstr>list17</vt:lpstr>
      <vt:lpstr>Camping!list18</vt:lpstr>
      <vt:lpstr>list18</vt:lpstr>
      <vt:lpstr>list19</vt:lpstr>
      <vt:lpstr>Camping!list19a</vt:lpstr>
      <vt:lpstr>list19a</vt:lpstr>
      <vt:lpstr>list1a</vt:lpstr>
      <vt:lpstr>Camping!list1b</vt:lpstr>
      <vt:lpstr>list1b</vt:lpstr>
      <vt:lpstr>Camping!list1c</vt:lpstr>
      <vt:lpstr>list1c</vt:lpstr>
      <vt:lpstr>Camping!list2</vt:lpstr>
      <vt:lpstr>list2</vt:lpstr>
      <vt:lpstr>list20</vt:lpstr>
      <vt:lpstr>Camping!list20a</vt:lpstr>
      <vt:lpstr>list20a</vt:lpstr>
      <vt:lpstr>list21</vt:lpstr>
      <vt:lpstr>Camping!list22</vt:lpstr>
      <vt:lpstr>list22</vt:lpstr>
      <vt:lpstr>list23</vt:lpstr>
      <vt:lpstr>Camping!list23a</vt:lpstr>
      <vt:lpstr>list23a</vt:lpstr>
      <vt:lpstr>list24</vt:lpstr>
      <vt:lpstr>Camping!list24a</vt:lpstr>
      <vt:lpstr>list24a</vt:lpstr>
      <vt:lpstr>Camping!list25</vt:lpstr>
      <vt:lpstr>list25</vt:lpstr>
      <vt:lpstr>Camping!list25a</vt:lpstr>
      <vt:lpstr>list25a</vt:lpstr>
      <vt:lpstr>Camping!list26</vt:lpstr>
      <vt:lpstr>list26</vt:lpstr>
      <vt:lpstr>list26a</vt:lpstr>
      <vt:lpstr>list26b</vt:lpstr>
      <vt:lpstr>Camping!list26c</vt:lpstr>
      <vt:lpstr>list26c</vt:lpstr>
      <vt:lpstr>list26d</vt:lpstr>
      <vt:lpstr>Camping!list27</vt:lpstr>
      <vt:lpstr>list27</vt:lpstr>
      <vt:lpstr>Camping!list27a</vt:lpstr>
      <vt:lpstr>list27a</vt:lpstr>
      <vt:lpstr>list28</vt:lpstr>
      <vt:lpstr>list29</vt:lpstr>
      <vt:lpstr>list29a</vt:lpstr>
      <vt:lpstr>Camping!list29b</vt:lpstr>
      <vt:lpstr>list29b</vt:lpstr>
      <vt:lpstr>Camping!list29c</vt:lpstr>
      <vt:lpstr>list29c</vt:lpstr>
      <vt:lpstr>Camping!list2a</vt:lpstr>
      <vt:lpstr>list2a</vt:lpstr>
      <vt:lpstr>list2c</vt:lpstr>
      <vt:lpstr>Camping!list3</vt:lpstr>
      <vt:lpstr>list3</vt:lpstr>
      <vt:lpstr>list30</vt:lpstr>
      <vt:lpstr>list31</vt:lpstr>
      <vt:lpstr>Camping!list31a</vt:lpstr>
      <vt:lpstr>list31a</vt:lpstr>
      <vt:lpstr>list32</vt:lpstr>
      <vt:lpstr>list33</vt:lpstr>
      <vt:lpstr>list33a</vt:lpstr>
      <vt:lpstr>list34</vt:lpstr>
      <vt:lpstr>list35</vt:lpstr>
      <vt:lpstr>list36</vt:lpstr>
      <vt:lpstr>Camping!list36a</vt:lpstr>
      <vt:lpstr>list36a</vt:lpstr>
      <vt:lpstr>Camping!list3a</vt:lpstr>
      <vt:lpstr>list3a</vt:lpstr>
      <vt:lpstr>list3b</vt:lpstr>
      <vt:lpstr>Camping!list4</vt:lpstr>
      <vt:lpstr>list4</vt:lpstr>
      <vt:lpstr>Camping!list49</vt:lpstr>
      <vt:lpstr>list49</vt:lpstr>
      <vt:lpstr>list5</vt:lpstr>
      <vt:lpstr>list50</vt:lpstr>
      <vt:lpstr>list51</vt:lpstr>
      <vt:lpstr>list52</vt:lpstr>
      <vt:lpstr>list59</vt:lpstr>
      <vt:lpstr>list59a</vt:lpstr>
      <vt:lpstr>list59b</vt:lpstr>
      <vt:lpstr>Camping!list5a</vt:lpstr>
      <vt:lpstr>list5a</vt:lpstr>
      <vt:lpstr>list6</vt:lpstr>
      <vt:lpstr>list60</vt:lpstr>
      <vt:lpstr>list61</vt:lpstr>
      <vt:lpstr>list61a</vt:lpstr>
      <vt:lpstr>list62</vt:lpstr>
      <vt:lpstr>list64</vt:lpstr>
      <vt:lpstr>list65</vt:lpstr>
      <vt:lpstr>list66</vt:lpstr>
      <vt:lpstr>list67</vt:lpstr>
      <vt:lpstr>list68</vt:lpstr>
      <vt:lpstr>list69</vt:lpstr>
      <vt:lpstr>Camping!list6a</vt:lpstr>
      <vt:lpstr>list6a</vt:lpstr>
      <vt:lpstr>Camping!list7</vt:lpstr>
      <vt:lpstr>list7</vt:lpstr>
      <vt:lpstr>list70</vt:lpstr>
      <vt:lpstr>list70a</vt:lpstr>
      <vt:lpstr>list71</vt:lpstr>
      <vt:lpstr>list73</vt:lpstr>
      <vt:lpstr>list74</vt:lpstr>
      <vt:lpstr>list74a</vt:lpstr>
      <vt:lpstr>list75</vt:lpstr>
      <vt:lpstr>Camping!list8</vt:lpstr>
      <vt:lpstr>list8</vt:lpstr>
      <vt:lpstr>list80</vt:lpstr>
      <vt:lpstr>list9</vt:lpstr>
      <vt:lpstr>Camping!list99</vt:lpstr>
      <vt:lpstr>list99</vt:lpstr>
      <vt:lpstr>Camping!list9a</vt:lpstr>
      <vt:lpstr>list9a</vt:lpstr>
      <vt:lpstr>othersection</vt:lpstr>
      <vt:lpstr>WC!Print_Area</vt:lpstr>
      <vt:lpstr>transportation</vt:lpstr>
      <vt:lpstr>WCexposures</vt:lpstr>
      <vt:lpstr>WCmanagement</vt:lpstr>
      <vt:lpstr>WCreporting</vt:lpstr>
      <vt:lpstr>WCtraining</vt:lpstr>
    </vt:vector>
  </TitlesOfParts>
  <Company>The Redwoods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kselker</dc:creator>
  <cp:lastModifiedBy>Karen</cp:lastModifiedBy>
  <cp:lastPrinted>2009-10-01T20:35:11Z</cp:lastPrinted>
  <dcterms:created xsi:type="dcterms:W3CDTF">2007-04-24T18:41:16Z</dcterms:created>
  <dcterms:modified xsi:type="dcterms:W3CDTF">2018-12-16T21:25:24Z</dcterms:modified>
</cp:coreProperties>
</file>